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adcope/AGENCIA - CLAUDE/ADCOPE/materiais-ricos/"/>
    </mc:Choice>
  </mc:AlternateContent>
  <xr:revisionPtr revIDLastSave="0" documentId="13_ncr:1_{2541B1E8-93E8-7743-9379-85CE818DC11F}" xr6:coauthVersionLast="47" xr6:coauthVersionMax="47" xr10:uidLastSave="{00000000-0000-0000-0000-000000000000}"/>
  <bookViews>
    <workbookView xWindow="0" yWindow="680" windowWidth="32920" windowHeight="21460" xr2:uid="{00000000-000D-0000-FFFF-FFFF00000000}"/>
  </bookViews>
  <sheets>
    <sheet name="Dashboard" sheetId="1" r:id="rId1"/>
    <sheet name="Inputs CAC" sheetId="2" r:id="rId2"/>
    <sheet name="Inputs LTV" sheetId="3" r:id="rId3"/>
    <sheet name="Saúde do Negócio" sheetId="4" r:id="rId4"/>
    <sheet name="Cenários" sheetId="5" r:id="rId5"/>
  </sheets>
  <externalReferences>
    <externalReference r:id="rId6"/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5" l="1"/>
  <c r="F13" i="5" s="1"/>
  <c r="C13" i="5"/>
  <c r="E13" i="5" s="1"/>
  <c r="B13" i="5"/>
  <c r="F6" i="5"/>
  <c r="E6" i="5"/>
  <c r="F5" i="5"/>
  <c r="E5" i="5"/>
  <c r="F4" i="5"/>
  <c r="E4" i="5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D10" i="4"/>
  <c r="F31" i="3"/>
  <c r="E31" i="3"/>
  <c r="B31" i="3"/>
  <c r="F30" i="3"/>
  <c r="E30" i="3"/>
  <c r="B30" i="3"/>
  <c r="F29" i="3"/>
  <c r="E29" i="3"/>
  <c r="B29" i="3"/>
  <c r="F28" i="3"/>
  <c r="E28" i="3"/>
  <c r="B28" i="3"/>
  <c r="F27" i="3"/>
  <c r="E27" i="3"/>
  <c r="B27" i="3"/>
  <c r="F26" i="3"/>
  <c r="E26" i="3"/>
  <c r="B26" i="3"/>
  <c r="F25" i="3"/>
  <c r="E25" i="3"/>
  <c r="B25" i="3"/>
  <c r="F24" i="3"/>
  <c r="E24" i="3"/>
  <c r="B24" i="3"/>
  <c r="F23" i="3"/>
  <c r="E23" i="3"/>
  <c r="B23" i="3"/>
  <c r="F22" i="3"/>
  <c r="E22" i="3"/>
  <c r="B22" i="3"/>
  <c r="F21" i="3"/>
  <c r="E21" i="3"/>
  <c r="B21" i="3"/>
  <c r="F20" i="3"/>
  <c r="E20" i="3"/>
  <c r="B20" i="3"/>
  <c r="F19" i="3"/>
  <c r="E19" i="3"/>
  <c r="B19" i="3"/>
  <c r="F18" i="3"/>
  <c r="E18" i="3"/>
  <c r="B18" i="3"/>
  <c r="F17" i="3"/>
  <c r="E17" i="3"/>
  <c r="B17" i="3"/>
  <c r="F16" i="3"/>
  <c r="E16" i="3"/>
  <c r="B16" i="3"/>
  <c r="F15" i="3"/>
  <c r="E15" i="3"/>
  <c r="B15" i="3"/>
  <c r="F14" i="3"/>
  <c r="E14" i="3"/>
  <c r="B14" i="3"/>
  <c r="F13" i="3"/>
  <c r="E13" i="3"/>
  <c r="B13" i="3"/>
  <c r="F12" i="3"/>
  <c r="E12" i="3"/>
  <c r="B12" i="3"/>
  <c r="F11" i="3"/>
  <c r="E11" i="3"/>
  <c r="B11" i="3"/>
  <c r="F10" i="3"/>
  <c r="E10" i="3"/>
  <c r="B10" i="3"/>
  <c r="F9" i="3"/>
  <c r="E9" i="3"/>
  <c r="D9" i="3"/>
  <c r="D10" i="3" s="1"/>
  <c r="B9" i="3"/>
  <c r="F8" i="3"/>
  <c r="E8" i="3"/>
  <c r="D8" i="3"/>
  <c r="C8" i="3"/>
  <c r="G8" i="3" s="1"/>
  <c r="B8" i="3"/>
  <c r="G10" i="2"/>
  <c r="E10" i="2"/>
  <c r="D10" i="2"/>
  <c r="C10" i="2"/>
  <c r="B10" i="2"/>
  <c r="H9" i="2"/>
  <c r="F9" i="2"/>
  <c r="I9" i="2" s="1"/>
  <c r="F8" i="2"/>
  <c r="I8" i="2" s="1"/>
  <c r="I7" i="2"/>
  <c r="H7" i="2"/>
  <c r="F7" i="2"/>
  <c r="I6" i="2"/>
  <c r="H6" i="2"/>
  <c r="F6" i="2"/>
  <c r="F5" i="2"/>
  <c r="I5" i="2" s="1"/>
  <c r="I4" i="2"/>
  <c r="F4" i="2"/>
  <c r="H4" i="2" s="1"/>
  <c r="I3" i="2"/>
  <c r="F3" i="2"/>
  <c r="H3" i="2" s="1"/>
  <c r="H2" i="2"/>
  <c r="F2" i="2"/>
  <c r="F10" i="2" s="1"/>
  <c r="H10" i="2" s="1"/>
  <c r="B11" i="1"/>
  <c r="B8" i="4" s="1"/>
  <c r="D8" i="4" s="1"/>
  <c r="B10" i="1"/>
  <c r="B6" i="4" s="1"/>
  <c r="D6" i="4" s="1"/>
  <c r="B9" i="1"/>
  <c r="B9" i="4" s="1"/>
  <c r="D9" i="4" s="1"/>
  <c r="B8" i="1"/>
  <c r="D10" i="5" s="1"/>
  <c r="B7" i="1"/>
  <c r="B7" i="4" s="1"/>
  <c r="D7" i="4" s="1"/>
  <c r="B6" i="1"/>
  <c r="D6" i="1" s="1"/>
  <c r="B5" i="1"/>
  <c r="D22" i="4" s="1"/>
  <c r="E22" i="4" s="1"/>
  <c r="B4" i="1"/>
  <c r="C9" i="5" s="1"/>
  <c r="D11" i="3" l="1"/>
  <c r="C10" i="3"/>
  <c r="G10" i="3" s="1"/>
  <c r="H10" i="3"/>
  <c r="H8" i="3"/>
  <c r="I10" i="2"/>
  <c r="D9" i="5"/>
  <c r="B11" i="5"/>
  <c r="B12" i="5" s="1"/>
  <c r="B18" i="5" s="1"/>
  <c r="C9" i="3"/>
  <c r="G9" i="3" s="1"/>
  <c r="C11" i="5"/>
  <c r="D14" i="5"/>
  <c r="B3" i="4"/>
  <c r="D3" i="4" s="1"/>
  <c r="D15" i="4"/>
  <c r="E15" i="4" s="1"/>
  <c r="D17" i="4"/>
  <c r="E17" i="4" s="1"/>
  <c r="D19" i="4"/>
  <c r="E19" i="4" s="1"/>
  <c r="D21" i="4"/>
  <c r="E21" i="4" s="1"/>
  <c r="D11" i="5"/>
  <c r="B10" i="5"/>
  <c r="B14" i="5" s="1"/>
  <c r="B4" i="4"/>
  <c r="C10" i="5"/>
  <c r="I2" i="2"/>
  <c r="H5" i="2"/>
  <c r="H8" i="2"/>
  <c r="B5" i="4"/>
  <c r="B10" i="4"/>
  <c r="D16" i="4"/>
  <c r="E16" i="4" s="1"/>
  <c r="D18" i="4"/>
  <c r="E18" i="4" s="1"/>
  <c r="D20" i="4"/>
  <c r="E20" i="4" s="1"/>
  <c r="B9" i="5"/>
  <c r="E9" i="5" s="1"/>
  <c r="F9" i="5" l="1"/>
  <c r="E10" i="5"/>
  <c r="F14" i="5"/>
  <c r="F10" i="5"/>
  <c r="C12" i="5"/>
  <c r="E11" i="5"/>
  <c r="D12" i="5"/>
  <c r="F11" i="5"/>
  <c r="H9" i="3"/>
  <c r="C14" i="5"/>
  <c r="E14" i="5" s="1"/>
  <c r="D12" i="3"/>
  <c r="C11" i="3"/>
  <c r="G11" i="3" s="1"/>
  <c r="D13" i="3" l="1"/>
  <c r="C12" i="3"/>
  <c r="G12" i="3" s="1"/>
  <c r="B19" i="5"/>
  <c r="B17" i="5"/>
  <c r="E12" i="5"/>
  <c r="B20" i="5"/>
  <c r="F12" i="5"/>
  <c r="H12" i="3"/>
  <c r="H11" i="3"/>
  <c r="D14" i="3" l="1"/>
  <c r="C13" i="3"/>
  <c r="G13" i="3" s="1"/>
  <c r="H13" i="3" l="1"/>
  <c r="D15" i="3"/>
  <c r="C14" i="3"/>
  <c r="G14" i="3" s="1"/>
  <c r="D16" i="3" l="1"/>
  <c r="C15" i="3"/>
  <c r="G15" i="3" s="1"/>
  <c r="H14" i="3"/>
  <c r="C16" i="3" l="1"/>
  <c r="G16" i="3" s="1"/>
  <c r="D17" i="3"/>
  <c r="H15" i="3"/>
  <c r="D18" i="3" l="1"/>
  <c r="C17" i="3"/>
  <c r="G17" i="3" s="1"/>
  <c r="H17" i="3" s="1"/>
  <c r="H16" i="3"/>
  <c r="D19" i="3" l="1"/>
  <c r="C18" i="3"/>
  <c r="G18" i="3" s="1"/>
  <c r="H18" i="3" s="1"/>
  <c r="D20" i="3" l="1"/>
  <c r="C19" i="3"/>
  <c r="G19" i="3" s="1"/>
  <c r="H19" i="3" s="1"/>
  <c r="D21" i="3" l="1"/>
  <c r="C20" i="3"/>
  <c r="G20" i="3" s="1"/>
  <c r="H20" i="3" s="1"/>
  <c r="D22" i="3" l="1"/>
  <c r="C21" i="3"/>
  <c r="G21" i="3" s="1"/>
  <c r="H21" i="3" s="1"/>
  <c r="D23" i="3" l="1"/>
  <c r="C22" i="3"/>
  <c r="G22" i="3" s="1"/>
  <c r="H22" i="3" s="1"/>
  <c r="C23" i="3" l="1"/>
  <c r="G23" i="3" s="1"/>
  <c r="H23" i="3" s="1"/>
  <c r="D24" i="3"/>
  <c r="D25" i="3" l="1"/>
  <c r="C24" i="3"/>
  <c r="G24" i="3" s="1"/>
  <c r="H24" i="3" s="1"/>
  <c r="D26" i="3" l="1"/>
  <c r="C25" i="3"/>
  <c r="G25" i="3" s="1"/>
  <c r="H25" i="3" s="1"/>
  <c r="D27" i="3" l="1"/>
  <c r="C26" i="3"/>
  <c r="G26" i="3" s="1"/>
  <c r="H26" i="3" s="1"/>
  <c r="D28" i="3" l="1"/>
  <c r="C27" i="3"/>
  <c r="G27" i="3" s="1"/>
  <c r="H27" i="3" s="1"/>
  <c r="D29" i="3" l="1"/>
  <c r="C28" i="3"/>
  <c r="G28" i="3" s="1"/>
  <c r="H28" i="3" s="1"/>
  <c r="D30" i="3" l="1"/>
  <c r="C29" i="3"/>
  <c r="G29" i="3" s="1"/>
  <c r="H29" i="3" s="1"/>
  <c r="D31" i="3" l="1"/>
  <c r="C31" i="3" s="1"/>
  <c r="G31" i="3" s="1"/>
  <c r="C30" i="3"/>
  <c r="G30" i="3" s="1"/>
  <c r="H30" i="3" s="1"/>
  <c r="H31" i="3" l="1"/>
  <c r="H3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Adcope</author>
  </authors>
  <commentList>
    <comment ref="B2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C2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D2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E2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F2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FÓRMULA: Soma dos custos</t>
        </r>
      </text>
    </comment>
    <comment ref="G2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H2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FÓRMULA: Custo Total / Novos Clientes</t>
        </r>
      </text>
    </comment>
    <comment ref="I2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FÓRMULA: Investimento / Custo Total</t>
        </r>
      </text>
    </comment>
    <comment ref="B3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C3" authorId="0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D3" authorId="0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E3" authorId="0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F3" authorId="0" shapeId="0" xr:uid="{00000000-0006-0000-0100-00000D000000}">
      <text>
        <r>
          <rPr>
            <sz val="11"/>
            <color theme="1"/>
            <rFont val="Calibri"/>
            <family val="2"/>
            <scheme val="minor"/>
          </rPr>
          <t>FÓRMULA: Soma dos custos</t>
        </r>
      </text>
    </comment>
    <comment ref="G3" authorId="0" shapeId="0" xr:uid="{00000000-0006-0000-0100-00000E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H3" authorId="0" shapeId="0" xr:uid="{00000000-0006-0000-0100-00000F000000}">
      <text>
        <r>
          <rPr>
            <sz val="11"/>
            <color theme="1"/>
            <rFont val="Calibri"/>
            <family val="2"/>
            <scheme val="minor"/>
          </rPr>
          <t>FÓRMULA: Custo Total / Novos Clientes</t>
        </r>
      </text>
    </comment>
    <comment ref="I3" authorId="0" shapeId="0" xr:uid="{00000000-0006-0000-0100-000010000000}">
      <text>
        <r>
          <rPr>
            <sz val="11"/>
            <color theme="1"/>
            <rFont val="Calibri"/>
            <family val="2"/>
            <scheme val="minor"/>
          </rPr>
          <t>FÓRMULA: Investimento / Custo Total</t>
        </r>
      </text>
    </comment>
    <comment ref="B4" authorId="0" shapeId="0" xr:uid="{00000000-0006-0000-0100-000011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C4" authorId="0" shapeId="0" xr:uid="{00000000-0006-0000-0100-000012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D4" authorId="0" shapeId="0" xr:uid="{00000000-0006-0000-0100-000013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E4" authorId="0" shapeId="0" xr:uid="{00000000-0006-0000-0100-000014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F4" authorId="0" shapeId="0" xr:uid="{00000000-0006-0000-0100-000015000000}">
      <text>
        <r>
          <rPr>
            <sz val="11"/>
            <color theme="1"/>
            <rFont val="Calibri"/>
            <family val="2"/>
            <scheme val="minor"/>
          </rPr>
          <t>FÓRMULA: Soma dos custos</t>
        </r>
      </text>
    </comment>
    <comment ref="G4" authorId="0" shapeId="0" xr:uid="{00000000-0006-0000-0100-000016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H4" authorId="0" shapeId="0" xr:uid="{00000000-0006-0000-0100-000017000000}">
      <text>
        <r>
          <rPr>
            <sz val="11"/>
            <color theme="1"/>
            <rFont val="Calibri"/>
            <family val="2"/>
            <scheme val="minor"/>
          </rPr>
          <t>FÓRMULA: Custo Total / Novos Clientes</t>
        </r>
      </text>
    </comment>
    <comment ref="I4" authorId="0" shapeId="0" xr:uid="{00000000-0006-0000-0100-000018000000}">
      <text>
        <r>
          <rPr>
            <sz val="11"/>
            <color theme="1"/>
            <rFont val="Calibri"/>
            <family val="2"/>
            <scheme val="minor"/>
          </rPr>
          <t>FÓRMULA: Investimento / Custo Total</t>
        </r>
      </text>
    </comment>
    <comment ref="B5" authorId="0" shapeId="0" xr:uid="{00000000-0006-0000-0100-000019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C5" authorId="0" shapeId="0" xr:uid="{00000000-0006-0000-0100-00001A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D5" authorId="0" shapeId="0" xr:uid="{00000000-0006-0000-0100-00001B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E5" authorId="0" shapeId="0" xr:uid="{00000000-0006-0000-0100-00001C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F5" authorId="0" shapeId="0" xr:uid="{00000000-0006-0000-0100-00001D000000}">
      <text>
        <r>
          <rPr>
            <sz val="11"/>
            <color theme="1"/>
            <rFont val="Calibri"/>
            <family val="2"/>
            <scheme val="minor"/>
          </rPr>
          <t>FÓRMULA: Soma dos custos</t>
        </r>
      </text>
    </comment>
    <comment ref="G5" authorId="0" shapeId="0" xr:uid="{00000000-0006-0000-0100-00001E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H5" authorId="0" shapeId="0" xr:uid="{00000000-0006-0000-0100-00001F000000}">
      <text>
        <r>
          <rPr>
            <sz val="11"/>
            <color theme="1"/>
            <rFont val="Calibri"/>
            <family val="2"/>
            <scheme val="minor"/>
          </rPr>
          <t>FÓRMULA: Custo Total / Novos Clientes</t>
        </r>
      </text>
    </comment>
    <comment ref="I5" authorId="0" shapeId="0" xr:uid="{00000000-0006-0000-0100-000020000000}">
      <text>
        <r>
          <rPr>
            <sz val="11"/>
            <color theme="1"/>
            <rFont val="Calibri"/>
            <family val="2"/>
            <scheme val="minor"/>
          </rPr>
          <t>FÓRMULA: Investimento / Custo Total</t>
        </r>
      </text>
    </comment>
    <comment ref="B6" authorId="0" shapeId="0" xr:uid="{00000000-0006-0000-0100-000021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C6" authorId="0" shapeId="0" xr:uid="{00000000-0006-0000-0100-000022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D6" authorId="0" shapeId="0" xr:uid="{00000000-0006-0000-0100-000023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E6" authorId="0" shapeId="0" xr:uid="{00000000-0006-0000-0100-000024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F6" authorId="0" shapeId="0" xr:uid="{00000000-0006-0000-0100-000025000000}">
      <text>
        <r>
          <rPr>
            <sz val="11"/>
            <color theme="1"/>
            <rFont val="Calibri"/>
            <family val="2"/>
            <scheme val="minor"/>
          </rPr>
          <t>FÓRMULA: Soma dos custos</t>
        </r>
      </text>
    </comment>
    <comment ref="G6" authorId="0" shapeId="0" xr:uid="{00000000-0006-0000-0100-000026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H6" authorId="0" shapeId="0" xr:uid="{00000000-0006-0000-0100-000027000000}">
      <text>
        <r>
          <rPr>
            <sz val="11"/>
            <color theme="1"/>
            <rFont val="Calibri"/>
            <family val="2"/>
            <scheme val="minor"/>
          </rPr>
          <t>FÓRMULA: Custo Total / Novos Clientes</t>
        </r>
      </text>
    </comment>
    <comment ref="I6" authorId="0" shapeId="0" xr:uid="{00000000-0006-0000-0100-000028000000}">
      <text>
        <r>
          <rPr>
            <sz val="11"/>
            <color theme="1"/>
            <rFont val="Calibri"/>
            <family val="2"/>
            <scheme val="minor"/>
          </rPr>
          <t>FÓRMULA: Investimento / Custo Total</t>
        </r>
      </text>
    </comment>
    <comment ref="B7" authorId="0" shapeId="0" xr:uid="{00000000-0006-0000-0100-000029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C7" authorId="0" shapeId="0" xr:uid="{00000000-0006-0000-0100-00002A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D7" authorId="0" shapeId="0" xr:uid="{00000000-0006-0000-0100-00002B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E7" authorId="0" shapeId="0" xr:uid="{00000000-0006-0000-0100-00002C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F7" authorId="0" shapeId="0" xr:uid="{00000000-0006-0000-0100-00002D000000}">
      <text>
        <r>
          <rPr>
            <sz val="11"/>
            <color theme="1"/>
            <rFont val="Calibri"/>
            <family val="2"/>
            <scheme val="minor"/>
          </rPr>
          <t>FÓRMULA: Soma dos custos</t>
        </r>
      </text>
    </comment>
    <comment ref="G7" authorId="0" shapeId="0" xr:uid="{00000000-0006-0000-0100-00002E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H7" authorId="0" shapeId="0" xr:uid="{00000000-0006-0000-0100-00002F000000}">
      <text>
        <r>
          <rPr>
            <sz val="11"/>
            <color theme="1"/>
            <rFont val="Calibri"/>
            <family val="2"/>
            <scheme val="minor"/>
          </rPr>
          <t>FÓRMULA: Custo Total / Novos Clientes</t>
        </r>
      </text>
    </comment>
    <comment ref="I7" authorId="0" shapeId="0" xr:uid="{00000000-0006-0000-0100-000030000000}">
      <text>
        <r>
          <rPr>
            <sz val="11"/>
            <color theme="1"/>
            <rFont val="Calibri"/>
            <family val="2"/>
            <scheme val="minor"/>
          </rPr>
          <t>FÓRMULA: Investimento / Custo Total</t>
        </r>
      </text>
    </comment>
    <comment ref="B8" authorId="0" shapeId="0" xr:uid="{00000000-0006-0000-0100-000031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C8" authorId="0" shapeId="0" xr:uid="{00000000-0006-0000-0100-000032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D8" authorId="0" shapeId="0" xr:uid="{00000000-0006-0000-0100-000033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E8" authorId="0" shapeId="0" xr:uid="{00000000-0006-0000-0100-000034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F8" authorId="0" shapeId="0" xr:uid="{00000000-0006-0000-0100-000035000000}">
      <text>
        <r>
          <rPr>
            <sz val="11"/>
            <color theme="1"/>
            <rFont val="Calibri"/>
            <family val="2"/>
            <scheme val="minor"/>
          </rPr>
          <t>FÓRMULA: Soma dos custos</t>
        </r>
      </text>
    </comment>
    <comment ref="G8" authorId="0" shapeId="0" xr:uid="{00000000-0006-0000-0100-000036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H8" authorId="0" shapeId="0" xr:uid="{00000000-0006-0000-0100-000037000000}">
      <text>
        <r>
          <rPr>
            <sz val="11"/>
            <color theme="1"/>
            <rFont val="Calibri"/>
            <family val="2"/>
            <scheme val="minor"/>
          </rPr>
          <t>FÓRMULA: Custo Total / Novos Clientes</t>
        </r>
      </text>
    </comment>
    <comment ref="I8" authorId="0" shapeId="0" xr:uid="{00000000-0006-0000-0100-000038000000}">
      <text>
        <r>
          <rPr>
            <sz val="11"/>
            <color theme="1"/>
            <rFont val="Calibri"/>
            <family val="2"/>
            <scheme val="minor"/>
          </rPr>
          <t>FÓRMULA: Investimento / Custo Total</t>
        </r>
      </text>
    </comment>
    <comment ref="B9" authorId="0" shapeId="0" xr:uid="{00000000-0006-0000-0100-000039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C9" authorId="0" shapeId="0" xr:uid="{00000000-0006-0000-0100-00003A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D9" authorId="0" shapeId="0" xr:uid="{00000000-0006-0000-0100-00003B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E9" authorId="0" shapeId="0" xr:uid="{00000000-0006-0000-0100-00003C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F9" authorId="0" shapeId="0" xr:uid="{00000000-0006-0000-0100-00003D000000}">
      <text>
        <r>
          <rPr>
            <sz val="11"/>
            <color theme="1"/>
            <rFont val="Calibri"/>
            <family val="2"/>
            <scheme val="minor"/>
          </rPr>
          <t>FÓRMULA: Soma dos custos</t>
        </r>
      </text>
    </comment>
    <comment ref="G9" authorId="0" shapeId="0" xr:uid="{00000000-0006-0000-0100-00003E000000}">
      <text>
        <r>
          <rPr>
            <sz val="11"/>
            <color theme="1"/>
            <rFont val="Calibri"/>
            <family val="2"/>
            <scheme val="minor"/>
          </rPr>
          <t>INPUT: edite este valor</t>
        </r>
      </text>
    </comment>
    <comment ref="H9" authorId="0" shapeId="0" xr:uid="{00000000-0006-0000-0100-00003F000000}">
      <text>
        <r>
          <rPr>
            <sz val="11"/>
            <color theme="1"/>
            <rFont val="Calibri"/>
            <family val="2"/>
            <scheme val="minor"/>
          </rPr>
          <t>FÓRMULA: Custo Total / Novos Clientes</t>
        </r>
      </text>
    </comment>
    <comment ref="I9" authorId="0" shapeId="0" xr:uid="{00000000-0006-0000-0100-000040000000}">
      <text>
        <r>
          <rPr>
            <sz val="11"/>
            <color theme="1"/>
            <rFont val="Calibri"/>
            <family val="2"/>
            <scheme val="minor"/>
          </rPr>
          <t>FÓRMULA: Investimento / Custo Total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Adcope</author>
  </authors>
  <commentList>
    <comment ref="B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 edite o total clientes iniciais</t>
        </r>
      </text>
    </comment>
    <comment ref="B3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INPUT: edite o churn mensal (%)</t>
        </r>
      </text>
    </comment>
    <comment ref="B4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>INPUT: edite o ticket médio inicial (r$)</t>
        </r>
      </text>
    </comment>
    <comment ref="B5" authorId="0" shapeId="0" xr:uid="{00000000-0006-0000-0200-000004000000}">
      <text>
        <r>
          <rPr>
            <sz val="11"/>
            <color theme="1"/>
            <rFont val="Calibri"/>
            <family val="2"/>
            <scheme val="minor"/>
          </rPr>
          <t>INPUT: edite o margem líquida (%)</t>
        </r>
      </text>
    </comment>
    <comment ref="B8" authorId="0" shapeId="0" xr:uid="{00000000-0006-0000-0200-000005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8" authorId="0" shapeId="0" xr:uid="{00000000-0006-0000-0200-000006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8" authorId="0" shapeId="0" xr:uid="{00000000-0006-0000-0200-000007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8" authorId="0" shapeId="0" xr:uid="{00000000-0006-0000-0200-000008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8" authorId="0" shapeId="0" xr:uid="{00000000-0006-0000-0200-000009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8" authorId="0" shapeId="0" xr:uid="{00000000-0006-0000-0200-00000A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8" authorId="0" shapeId="0" xr:uid="{00000000-0006-0000-0200-00000B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9" authorId="0" shapeId="0" xr:uid="{00000000-0006-0000-0200-00000C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9" authorId="0" shapeId="0" xr:uid="{00000000-0006-0000-0200-00000D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9" authorId="0" shapeId="0" xr:uid="{00000000-0006-0000-0200-00000E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9" authorId="0" shapeId="0" xr:uid="{00000000-0006-0000-0200-00000F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9" authorId="0" shapeId="0" xr:uid="{00000000-0006-0000-0200-000010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9" authorId="0" shapeId="0" xr:uid="{00000000-0006-0000-0200-000011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9" authorId="0" shapeId="0" xr:uid="{00000000-0006-0000-0200-000012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10" authorId="0" shapeId="0" xr:uid="{00000000-0006-0000-0200-000013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10" authorId="0" shapeId="0" xr:uid="{00000000-0006-0000-0200-000014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10" authorId="0" shapeId="0" xr:uid="{00000000-0006-0000-0200-000015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10" authorId="0" shapeId="0" xr:uid="{00000000-0006-0000-0200-000016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10" authorId="0" shapeId="0" xr:uid="{00000000-0006-0000-0200-000017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10" authorId="0" shapeId="0" xr:uid="{00000000-0006-0000-0200-000018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10" authorId="0" shapeId="0" xr:uid="{00000000-0006-0000-0200-000019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11" authorId="0" shapeId="0" xr:uid="{00000000-0006-0000-0200-00001A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11" authorId="0" shapeId="0" xr:uid="{00000000-0006-0000-0200-00001B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11" authorId="0" shapeId="0" xr:uid="{00000000-0006-0000-0200-00001C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11" authorId="0" shapeId="0" xr:uid="{00000000-0006-0000-0200-00001D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11" authorId="0" shapeId="0" xr:uid="{00000000-0006-0000-0200-00001E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11" authorId="0" shapeId="0" xr:uid="{00000000-0006-0000-0200-00001F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11" authorId="0" shapeId="0" xr:uid="{00000000-0006-0000-0200-000020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12" authorId="0" shapeId="0" xr:uid="{00000000-0006-0000-0200-000021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12" authorId="0" shapeId="0" xr:uid="{00000000-0006-0000-0200-000022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12" authorId="0" shapeId="0" xr:uid="{00000000-0006-0000-0200-000023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12" authorId="0" shapeId="0" xr:uid="{00000000-0006-0000-0200-000024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12" authorId="0" shapeId="0" xr:uid="{00000000-0006-0000-0200-000025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12" authorId="0" shapeId="0" xr:uid="{00000000-0006-0000-0200-000026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12" authorId="0" shapeId="0" xr:uid="{00000000-0006-0000-0200-000027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13" authorId="0" shapeId="0" xr:uid="{00000000-0006-0000-0200-000028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13" authorId="0" shapeId="0" xr:uid="{00000000-0006-0000-0200-000029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13" authorId="0" shapeId="0" xr:uid="{00000000-0006-0000-0200-00002A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13" authorId="0" shapeId="0" xr:uid="{00000000-0006-0000-0200-00002B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13" authorId="0" shapeId="0" xr:uid="{00000000-0006-0000-0200-00002C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13" authorId="0" shapeId="0" xr:uid="{00000000-0006-0000-0200-00002D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13" authorId="0" shapeId="0" xr:uid="{00000000-0006-0000-0200-00002E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14" authorId="0" shapeId="0" xr:uid="{00000000-0006-0000-0200-00002F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14" authorId="0" shapeId="0" xr:uid="{00000000-0006-0000-0200-000030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14" authorId="0" shapeId="0" xr:uid="{00000000-0006-0000-0200-000031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14" authorId="0" shapeId="0" xr:uid="{00000000-0006-0000-0200-000032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14" authorId="0" shapeId="0" xr:uid="{00000000-0006-0000-0200-000033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14" authorId="0" shapeId="0" xr:uid="{00000000-0006-0000-0200-000034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14" authorId="0" shapeId="0" xr:uid="{00000000-0006-0000-0200-000035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15" authorId="0" shapeId="0" xr:uid="{00000000-0006-0000-0200-000036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15" authorId="0" shapeId="0" xr:uid="{00000000-0006-0000-0200-000037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15" authorId="0" shapeId="0" xr:uid="{00000000-0006-0000-0200-000038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15" authorId="0" shapeId="0" xr:uid="{00000000-0006-0000-0200-000039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15" authorId="0" shapeId="0" xr:uid="{00000000-0006-0000-0200-00003A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15" authorId="0" shapeId="0" xr:uid="{00000000-0006-0000-0200-00003B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15" authorId="0" shapeId="0" xr:uid="{00000000-0006-0000-0200-00003C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16" authorId="0" shapeId="0" xr:uid="{00000000-0006-0000-0200-00003D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16" authorId="0" shapeId="0" xr:uid="{00000000-0006-0000-0200-00003E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16" authorId="0" shapeId="0" xr:uid="{00000000-0006-0000-0200-00003F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16" authorId="0" shapeId="0" xr:uid="{00000000-0006-0000-0200-000040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16" authorId="0" shapeId="0" xr:uid="{00000000-0006-0000-0200-000041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16" authorId="0" shapeId="0" xr:uid="{00000000-0006-0000-0200-000042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16" authorId="0" shapeId="0" xr:uid="{00000000-0006-0000-0200-000043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17" authorId="0" shapeId="0" xr:uid="{00000000-0006-0000-0200-000044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17" authorId="0" shapeId="0" xr:uid="{00000000-0006-0000-0200-000045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17" authorId="0" shapeId="0" xr:uid="{00000000-0006-0000-0200-000046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17" authorId="0" shapeId="0" xr:uid="{00000000-0006-0000-0200-000047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17" authorId="0" shapeId="0" xr:uid="{00000000-0006-0000-0200-000048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17" authorId="0" shapeId="0" xr:uid="{00000000-0006-0000-0200-000049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17" authorId="0" shapeId="0" xr:uid="{00000000-0006-0000-0200-00004A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18" authorId="0" shapeId="0" xr:uid="{00000000-0006-0000-0200-00004B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18" authorId="0" shapeId="0" xr:uid="{00000000-0006-0000-0200-00004C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18" authorId="0" shapeId="0" xr:uid="{00000000-0006-0000-0200-00004D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18" authorId="0" shapeId="0" xr:uid="{00000000-0006-0000-0200-00004E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18" authorId="0" shapeId="0" xr:uid="{00000000-0006-0000-0200-00004F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18" authorId="0" shapeId="0" xr:uid="{00000000-0006-0000-0200-000050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18" authorId="0" shapeId="0" xr:uid="{00000000-0006-0000-0200-000051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19" authorId="0" shapeId="0" xr:uid="{00000000-0006-0000-0200-000052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19" authorId="0" shapeId="0" xr:uid="{00000000-0006-0000-0200-000053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19" authorId="0" shapeId="0" xr:uid="{00000000-0006-0000-0200-000054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19" authorId="0" shapeId="0" xr:uid="{00000000-0006-0000-0200-000055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19" authorId="0" shapeId="0" xr:uid="{00000000-0006-0000-0200-000056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19" authorId="0" shapeId="0" xr:uid="{00000000-0006-0000-0200-000057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19" authorId="0" shapeId="0" xr:uid="{00000000-0006-0000-0200-000058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20" authorId="0" shapeId="0" xr:uid="{00000000-0006-0000-0200-000059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20" authorId="0" shapeId="0" xr:uid="{00000000-0006-0000-0200-00005A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20" authorId="0" shapeId="0" xr:uid="{00000000-0006-0000-0200-00005B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20" authorId="0" shapeId="0" xr:uid="{00000000-0006-0000-0200-00005C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20" authorId="0" shapeId="0" xr:uid="{00000000-0006-0000-0200-00005D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20" authorId="0" shapeId="0" xr:uid="{00000000-0006-0000-0200-00005E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20" authorId="0" shapeId="0" xr:uid="{00000000-0006-0000-0200-00005F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21" authorId="0" shapeId="0" xr:uid="{00000000-0006-0000-0200-000060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21" authorId="0" shapeId="0" xr:uid="{00000000-0006-0000-0200-000061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21" authorId="0" shapeId="0" xr:uid="{00000000-0006-0000-0200-000062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21" authorId="0" shapeId="0" xr:uid="{00000000-0006-0000-0200-000063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21" authorId="0" shapeId="0" xr:uid="{00000000-0006-0000-0200-000064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21" authorId="0" shapeId="0" xr:uid="{00000000-0006-0000-0200-000065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21" authorId="0" shapeId="0" xr:uid="{00000000-0006-0000-0200-000066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22" authorId="0" shapeId="0" xr:uid="{00000000-0006-0000-0200-000067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22" authorId="0" shapeId="0" xr:uid="{00000000-0006-0000-0200-000068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22" authorId="0" shapeId="0" xr:uid="{00000000-0006-0000-0200-000069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22" authorId="0" shapeId="0" xr:uid="{00000000-0006-0000-0200-00006A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22" authorId="0" shapeId="0" xr:uid="{00000000-0006-0000-0200-00006B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22" authorId="0" shapeId="0" xr:uid="{00000000-0006-0000-0200-00006C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22" authorId="0" shapeId="0" xr:uid="{00000000-0006-0000-0200-00006D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23" authorId="0" shapeId="0" xr:uid="{00000000-0006-0000-0200-00006E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23" authorId="0" shapeId="0" xr:uid="{00000000-0006-0000-0200-00006F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23" authorId="0" shapeId="0" xr:uid="{00000000-0006-0000-0200-000070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23" authorId="0" shapeId="0" xr:uid="{00000000-0006-0000-0200-000071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23" authorId="0" shapeId="0" xr:uid="{00000000-0006-0000-0200-000072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23" authorId="0" shapeId="0" xr:uid="{00000000-0006-0000-0200-000073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23" authorId="0" shapeId="0" xr:uid="{00000000-0006-0000-0200-000074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24" authorId="0" shapeId="0" xr:uid="{00000000-0006-0000-0200-000075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24" authorId="0" shapeId="0" xr:uid="{00000000-0006-0000-0200-000076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24" authorId="0" shapeId="0" xr:uid="{00000000-0006-0000-0200-000077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24" authorId="0" shapeId="0" xr:uid="{00000000-0006-0000-0200-000078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24" authorId="0" shapeId="0" xr:uid="{00000000-0006-0000-0200-000079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24" authorId="0" shapeId="0" xr:uid="{00000000-0006-0000-0200-00007A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24" authorId="0" shapeId="0" xr:uid="{00000000-0006-0000-0200-00007B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25" authorId="0" shapeId="0" xr:uid="{00000000-0006-0000-0200-00007C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25" authorId="0" shapeId="0" xr:uid="{00000000-0006-0000-0200-00007D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25" authorId="0" shapeId="0" xr:uid="{00000000-0006-0000-0200-00007E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25" authorId="0" shapeId="0" xr:uid="{00000000-0006-0000-0200-00007F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25" authorId="0" shapeId="0" xr:uid="{00000000-0006-0000-0200-000080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25" authorId="0" shapeId="0" xr:uid="{00000000-0006-0000-0200-000081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25" authorId="0" shapeId="0" xr:uid="{00000000-0006-0000-0200-000082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26" authorId="0" shapeId="0" xr:uid="{00000000-0006-0000-0200-000083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26" authorId="0" shapeId="0" xr:uid="{00000000-0006-0000-0200-000084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26" authorId="0" shapeId="0" xr:uid="{00000000-0006-0000-0200-000085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26" authorId="0" shapeId="0" xr:uid="{00000000-0006-0000-0200-000086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26" authorId="0" shapeId="0" xr:uid="{00000000-0006-0000-0200-000087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26" authorId="0" shapeId="0" xr:uid="{00000000-0006-0000-0200-000088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26" authorId="0" shapeId="0" xr:uid="{00000000-0006-0000-0200-000089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27" authorId="0" shapeId="0" xr:uid="{00000000-0006-0000-0200-00008A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27" authorId="0" shapeId="0" xr:uid="{00000000-0006-0000-0200-00008B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27" authorId="0" shapeId="0" xr:uid="{00000000-0006-0000-0200-00008C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27" authorId="0" shapeId="0" xr:uid="{00000000-0006-0000-0200-00008D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27" authorId="0" shapeId="0" xr:uid="{00000000-0006-0000-0200-00008E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27" authorId="0" shapeId="0" xr:uid="{00000000-0006-0000-0200-00008F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27" authorId="0" shapeId="0" xr:uid="{00000000-0006-0000-0200-000090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28" authorId="0" shapeId="0" xr:uid="{00000000-0006-0000-0200-000091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28" authorId="0" shapeId="0" xr:uid="{00000000-0006-0000-0200-000092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28" authorId="0" shapeId="0" xr:uid="{00000000-0006-0000-0200-000093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28" authorId="0" shapeId="0" xr:uid="{00000000-0006-0000-0200-000094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28" authorId="0" shapeId="0" xr:uid="{00000000-0006-0000-0200-000095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28" authorId="0" shapeId="0" xr:uid="{00000000-0006-0000-0200-000096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28" authorId="0" shapeId="0" xr:uid="{00000000-0006-0000-0200-000097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29" authorId="0" shapeId="0" xr:uid="{00000000-0006-0000-0200-000098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29" authorId="0" shapeId="0" xr:uid="{00000000-0006-0000-0200-000099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29" authorId="0" shapeId="0" xr:uid="{00000000-0006-0000-0200-00009A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29" authorId="0" shapeId="0" xr:uid="{00000000-0006-0000-0200-00009B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29" authorId="0" shapeId="0" xr:uid="{00000000-0006-0000-0200-00009C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29" authorId="0" shapeId="0" xr:uid="{00000000-0006-0000-0200-00009D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29" authorId="0" shapeId="0" xr:uid="{00000000-0006-0000-0200-00009E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30" authorId="0" shapeId="0" xr:uid="{00000000-0006-0000-0200-00009F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30" authorId="0" shapeId="0" xr:uid="{00000000-0006-0000-0200-0000A0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30" authorId="0" shapeId="0" xr:uid="{00000000-0006-0000-0200-0000A1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30" authorId="0" shapeId="0" xr:uid="{00000000-0006-0000-0200-0000A2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30" authorId="0" shapeId="0" xr:uid="{00000000-0006-0000-0200-0000A3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30" authorId="0" shapeId="0" xr:uid="{00000000-0006-0000-0200-0000A4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30" authorId="0" shapeId="0" xr:uid="{00000000-0006-0000-0200-0000A5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B31" authorId="0" shapeId="0" xr:uid="{00000000-0006-0000-0200-0000A6000000}">
      <text>
        <r>
          <rPr>
            <sz val="11"/>
            <color theme="1"/>
            <rFont val="Calibri"/>
            <family val="2"/>
            <scheme val="minor"/>
          </rPr>
          <t>INPUT: edite o ticket médio deste mês</t>
        </r>
      </text>
    </comment>
    <comment ref="C31" authorId="0" shapeId="0" xr:uid="{00000000-0006-0000-0200-0000A7000000}">
      <text>
        <r>
          <rPr>
            <sz val="11"/>
            <color theme="1"/>
            <rFont val="Calibri"/>
            <family val="2"/>
            <scheme val="minor"/>
          </rPr>
          <t>FÓRMULA: Clientes Ativos × Ticket Médio</t>
        </r>
      </text>
    </comment>
    <comment ref="D31" authorId="0" shapeId="0" xr:uid="{00000000-0006-0000-0200-0000A8000000}">
      <text>
        <r>
          <rPr>
            <sz val="11"/>
            <color theme="1"/>
            <rFont val="Calibri"/>
            <family val="2"/>
            <scheme val="minor"/>
          </rPr>
          <t>FÓRMULA: Mês anterior × (1 - Churn)</t>
        </r>
      </text>
    </comment>
    <comment ref="E31" authorId="0" shapeId="0" xr:uid="{00000000-0006-0000-0200-0000A9000000}">
      <text>
        <r>
          <rPr>
            <sz val="11"/>
            <color theme="1"/>
            <rFont val="Calibri"/>
            <family val="2"/>
            <scheme val="minor"/>
          </rPr>
          <t>INPUT: edite o churn deste mês</t>
        </r>
      </text>
    </comment>
    <comment ref="F31" authorId="0" shapeId="0" xr:uid="{00000000-0006-0000-0200-0000AA000000}">
      <text>
        <r>
          <rPr>
            <sz val="11"/>
            <color theme="1"/>
            <rFont val="Calibri"/>
            <family val="2"/>
            <scheme val="minor"/>
          </rPr>
          <t>INPUT: edite a margem deste mês</t>
        </r>
      </text>
    </comment>
    <comment ref="G31" authorId="0" shapeId="0" xr:uid="{00000000-0006-0000-0200-0000AB000000}">
      <text>
        <r>
          <rPr>
            <sz val="11"/>
            <color theme="1"/>
            <rFont val="Calibri"/>
            <family val="2"/>
            <scheme val="minor"/>
          </rPr>
          <t>FÓRMULA: Faturamento × Margem</t>
        </r>
      </text>
    </comment>
    <comment ref="H31" authorId="0" shapeId="0" xr:uid="{00000000-0006-0000-0200-0000AC000000}">
      <text>
        <r>
          <rPr>
            <sz val="11"/>
            <color theme="1"/>
            <rFont val="Calibri"/>
            <family val="2"/>
            <scheme val="minor"/>
          </rPr>
          <t>FÓRMULA: Soma cumulativa da contribuição</t>
        </r>
      </text>
    </comment>
    <comment ref="H32" authorId="0" shapeId="0" xr:uid="{00000000-0006-0000-0200-0000AD000000}">
      <text>
        <r>
          <rPr>
            <sz val="11"/>
            <color theme="1"/>
            <rFont val="Calibri"/>
            <family val="2"/>
            <scheme val="minor"/>
          </rPr>
          <t>FÓRMULA: LTV Acumulado Mês 24 / Clientes Iniciais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Adcope</author>
  </authors>
  <commentList>
    <comment ref="B4" authorId="0" shapeId="0" xr:uid="{00000000-0006-0000-0400-000001000000}">
      <text>
        <r>
          <rPr>
            <sz val="11"/>
            <color theme="1"/>
            <rFont val="Calibri"/>
            <family val="2"/>
            <scheme val="minor"/>
          </rPr>
          <t>INPUT: multiplicador para o cenário</t>
        </r>
      </text>
    </comment>
    <comment ref="C4" authorId="0" shapeId="0" xr:uid="{00000000-0006-0000-0400-000002000000}">
      <text>
        <r>
          <rPr>
            <sz val="11"/>
            <color theme="1"/>
            <rFont val="Calibri"/>
            <family val="2"/>
            <scheme val="minor"/>
          </rPr>
          <t>INPUT: multiplicador para o cenário</t>
        </r>
      </text>
    </comment>
    <comment ref="D4" authorId="0" shapeId="0" xr:uid="{00000000-0006-0000-0400-000003000000}">
      <text>
        <r>
          <rPr>
            <sz val="11"/>
            <color theme="1"/>
            <rFont val="Calibri"/>
            <family val="2"/>
            <scheme val="minor"/>
          </rPr>
          <t>INPUT: multiplicador para o cenário</t>
        </r>
      </text>
    </comment>
    <comment ref="B5" authorId="0" shapeId="0" xr:uid="{00000000-0006-0000-0400-000004000000}">
      <text>
        <r>
          <rPr>
            <sz val="11"/>
            <color theme="1"/>
            <rFont val="Calibri"/>
            <family val="2"/>
            <scheme val="minor"/>
          </rPr>
          <t>INPUT: multiplicador para o cenário</t>
        </r>
      </text>
    </comment>
    <comment ref="C5" authorId="0" shapeId="0" xr:uid="{00000000-0006-0000-0400-000005000000}">
      <text>
        <r>
          <rPr>
            <sz val="11"/>
            <color theme="1"/>
            <rFont val="Calibri"/>
            <family val="2"/>
            <scheme val="minor"/>
          </rPr>
          <t>INPUT: multiplicador para o cenário</t>
        </r>
      </text>
    </comment>
    <comment ref="D5" authorId="0" shapeId="0" xr:uid="{00000000-0006-0000-0400-000006000000}">
      <text>
        <r>
          <rPr>
            <sz val="11"/>
            <color theme="1"/>
            <rFont val="Calibri"/>
            <family val="2"/>
            <scheme val="minor"/>
          </rPr>
          <t>INPUT: multiplicador para o cenário</t>
        </r>
      </text>
    </comment>
    <comment ref="B6" authorId="0" shapeId="0" xr:uid="{00000000-0006-0000-0400-000007000000}">
      <text>
        <r>
          <rPr>
            <sz val="11"/>
            <color theme="1"/>
            <rFont val="Calibri"/>
            <family val="2"/>
            <scheme val="minor"/>
          </rPr>
          <t>INPUT: multiplicador para o cenário</t>
        </r>
      </text>
    </comment>
    <comment ref="C6" authorId="0" shapeId="0" xr:uid="{00000000-0006-0000-0400-000008000000}">
      <text>
        <r>
          <rPr>
            <sz val="11"/>
            <color theme="1"/>
            <rFont val="Calibri"/>
            <family val="2"/>
            <scheme val="minor"/>
          </rPr>
          <t>INPUT: multiplicador para o cenário</t>
        </r>
      </text>
    </comment>
    <comment ref="D6" authorId="0" shapeId="0" xr:uid="{00000000-0006-0000-0400-000009000000}">
      <text>
        <r>
          <rPr>
            <sz val="11"/>
            <color theme="1"/>
            <rFont val="Calibri"/>
            <family val="2"/>
            <scheme val="minor"/>
          </rPr>
          <t>INPUT: multiplicador para o cenário</t>
        </r>
      </text>
    </comment>
  </commentList>
</comments>
</file>

<file path=xl/sharedStrings.xml><?xml version="1.0" encoding="utf-8"?>
<sst xmlns="http://schemas.openxmlformats.org/spreadsheetml/2006/main" count="148" uniqueCount="124">
  <si>
    <t>Calculadora CAC / LTV — Adcope</t>
  </si>
  <si>
    <t>Indicador</t>
  </si>
  <si>
    <t>Valor</t>
  </si>
  <si>
    <t>Referência</t>
  </si>
  <si>
    <t>Status</t>
  </si>
  <si>
    <t>CAC Médio (geral)</t>
  </si>
  <si>
    <t>Inputs CAC</t>
  </si>
  <si>
    <t>LTV Médio (geral)</t>
  </si>
  <si>
    <t>Inputs LTV</t>
  </si>
  <si>
    <t>Relação LTV:CAC</t>
  </si>
  <si>
    <t>LTV / CAC</t>
  </si>
  <si>
    <t>ROAS Médio</t>
  </si>
  <si>
    <t>Investimento / Custo</t>
  </si>
  <si>
    <t>Ticket Médio (R$)</t>
  </si>
  <si>
    <t>Margem Líquida (%)</t>
  </si>
  <si>
    <t>Payback (meses)</t>
  </si>
  <si>
    <t>CAC / (Ticket*Marg.)</t>
  </si>
  <si>
    <t>Taxa de Churn (%)</t>
  </si>
  <si>
    <t>Legenda LTV:CAC</t>
  </si>
  <si>
    <t>Saudável = LTV:CAC &gt; 3:1</t>
  </si>
  <si>
    <t>Atenção = LTV:CAC entre 1:1 e 3:1</t>
  </si>
  <si>
    <t>Crítico = LTV:CAC &lt; 1:1</t>
  </si>
  <si>
    <t>Canal</t>
  </si>
  <si>
    <t>Investimento (R$)</t>
  </si>
  <si>
    <t>Criativos/Produção (R$)</t>
  </si>
  <si>
    <t>Ferramentas (R$)</t>
  </si>
  <si>
    <t>Salário Equipe (R$)</t>
  </si>
  <si>
    <t>Custo Total (R$)</t>
  </si>
  <si>
    <t>Novos Clientes</t>
  </si>
  <si>
    <t>CAC (R$)</t>
  </si>
  <si>
    <t>% do Investimento</t>
  </si>
  <si>
    <t>Orgânico</t>
  </si>
  <si>
    <t>Meta Ads</t>
  </si>
  <si>
    <t>Google Ads</t>
  </si>
  <si>
    <t>TikTok Ads</t>
  </si>
  <si>
    <t>LinkedIn Ads</t>
  </si>
  <si>
    <t>Email Marketing</t>
  </si>
  <si>
    <t>Indicação</t>
  </si>
  <si>
    <t>Outros</t>
  </si>
  <si>
    <t>TOTAL</t>
  </si>
  <si>
    <t>Parâmetros Iniciais</t>
  </si>
  <si>
    <t>Total Clientes Iniciais</t>
  </si>
  <si>
    <t>Churn Mensal (%)</t>
  </si>
  <si>
    <t>Ticket Médio Inicial (R$)</t>
  </si>
  <si>
    <t>Período</t>
  </si>
  <si>
    <t>Faturamento (R$)</t>
  </si>
  <si>
    <t>Clientes Ativos</t>
  </si>
  <si>
    <t>Churn (%)</t>
  </si>
  <si>
    <t>Margem (%)</t>
  </si>
  <si>
    <t>Contribuição (R$)</t>
  </si>
  <si>
    <t>LTV Acumulado (R$)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</si>
  <si>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</si>
  <si>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</si>
  <si>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</si>
  <si>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</si>
  <si>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</si>
  <si>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</si>
  <si>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</si>
  <si>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</si>
  <si>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</si>
  <si>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</si>
  <si>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</si>
  <si>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</si>
  <si>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Mês 13</t>
  </si>
  <si>
    <t>Mês 14</t>
  </si>
  <si>
    <t>Mês 15</t>
  </si>
  <si>
    <t>Mês 16</t>
  </si>
  <si>
    <t>Mês 17</t>
  </si>
  <si>
    <t>Mês 18</t>
  </si>
  <si>
    <t>Mês 19</t>
  </si>
  <si>
    <t>Mês 20</t>
  </si>
  <si>
    <t>Mês 21</t>
  </si>
  <si>
    <t>Mês 22</t>
  </si>
  <si>
    <t>Mês 23</t>
  </si>
  <si>
    <t>Mês 24</t>
  </si>
  <si>
    <t>LTV Médio por Cliente</t>
  </si>
  <si>
    <t>Indicadores Compostos de Saúde do Negócio</t>
  </si>
  <si>
    <t>Benchmark</t>
  </si>
  <si>
    <t>Fórmula de Referência</t>
  </si>
  <si>
    <t>&gt; 3:1</t>
  </si>
  <si>
    <t>LTV Médio ÷ CAC Médio</t>
  </si>
  <si>
    <t>CAC Médio (R$)</t>
  </si>
  <si>
    <t>Menor possível</t>
  </si>
  <si>
    <t>Custo Total ÷ Total Clientes</t>
  </si>
  <si>
    <t>LTV Médio (R$)</t>
  </si>
  <si>
    <t>&gt; 3x CAC</t>
  </si>
  <si>
    <t>Margem Total Acumulada ÷ Clientes</t>
  </si>
  <si>
    <t>&lt; 12 meses</t>
  </si>
  <si>
    <t>CAC ÷ (Ticket × Margem)</t>
  </si>
  <si>
    <t>&gt; 4:1</t>
  </si>
  <si>
    <t>Receita ÷ Investimento</t>
  </si>
  <si>
    <t>&lt; 5% mensal</t>
  </si>
  <si>
    <t>Clientes perdidos ÷ Total</t>
  </si>
  <si>
    <t>&gt; 20%</t>
  </si>
  <si>
    <t>(Receita - Custos) ÷ Receita</t>
  </si>
  <si>
    <t>Break-even Point (meses)</t>
  </si>
  <si>
    <t>&lt; 6 meses</t>
  </si>
  <si>
    <t>CAC ÷ (Ticket × Margem) - projeção mês 1</t>
  </si>
  <si>
    <t>ROI por Canal de Aquisição</t>
  </si>
  <si>
    <t>Investimento Total (R$)</t>
  </si>
  <si>
    <t>ROI</t>
  </si>
  <si>
    <t>Classificação</t>
  </si>
  <si>
    <t>Projeções de Cenários</t>
  </si>
  <si>
    <t>Realista (Atual)</t>
  </si>
  <si>
    <t>Otimista</t>
  </si>
  <si>
    <t>Conservador</t>
  </si>
  <si>
    <t>Variação Otimista</t>
  </si>
  <si>
    <t>Variação Conservador</t>
  </si>
  <si>
    <t>PARÂMETROS</t>
  </si>
  <si>
    <t>Multiplicador CAC</t>
  </si>
  <si>
    <t>Multiplicador Ticket Médio</t>
  </si>
  <si>
    <t>Multiplicador Conversão</t>
  </si>
  <si>
    <t>RESULTADOS PROJETADOS</t>
  </si>
  <si>
    <t>CAC Projetado (R$)</t>
  </si>
  <si>
    <t>Ticket Médio Projetado (R$)</t>
  </si>
  <si>
    <t>LTV Projetado (R$)</t>
  </si>
  <si>
    <t>Relação LTV:CAC Projetada</t>
  </si>
  <si>
    <t>Clientes Projetados (12 meses)</t>
  </si>
  <si>
    <t>Receita Projetada (R$)</t>
  </si>
  <si>
    <t>Recomendação Estratégica</t>
  </si>
  <si>
    <t>Melhor Cenário</t>
  </si>
  <si>
    <t>Status LTV:CAC (Realista)</t>
  </si>
  <si>
    <t>Status LTV:CAC (Otimista)</t>
  </si>
  <si>
    <t>Status LTV:CAC (Conservador)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</si>
</sst>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8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b/>
      <sz val="12"/>
      <color rgb="FF000000"/>
      <name val="Arial"/>
    </font>
    <font>
      <i/>
      <sz val="9"/>
      <color rgb="FF666666"/>
      <name val="Arial"/>
    </font>
  </fonts>
  <fills count="8">
    <fill>
      <patternFill patternType="none"/>
    </fill>
    <fill>
      <patternFill patternType="gray125"/>
    </fill>
    <fill>
      <patternFill patternType="solid">
        <fgColor rgb="FFBFFF00"/>
        <bgColor rgb="FFBFFF00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FFFFCC"/>
        <bgColor rgb="FFFFFFCC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4" fillId="3" borderId="0" xfId="0" applyFont="1" applyFill="1"/>
    <xf numFmtId="0" fontId="4" fillId="4" borderId="0" xfId="0" applyFont="1" applyFill="1"/>
    <xf numFmtId="0" fontId="4" fillId="5" borderId="0" xfId="0" applyFont="1" applyFill="1"/>
    <xf numFmtId="0" fontId="4" fillId="0" borderId="1" xfId="0" applyFont="1" applyBorder="1" applyAlignment="1">
      <alignment horizontal="left" vertical="center"/>
    </xf>
    <xf numFmtId="4" fontId="4" fillId="6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2" borderId="0" xfId="0" applyFill="1"/>
    <xf numFmtId="164" fontId="4" fillId="6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7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1397000</xdr:colOff>
      <xdr:row>17</xdr:row>
      <xdr:rowOff>12390</xdr:rowOff>
    </xdr:from>
    <xdr:to>
      <xdr:col>3</xdr:col>
      <xdr:colOff>1346200</xdr:colOff>
      <xdr:row>19</xdr:row>
      <xdr:rowOff>152400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23B6479-9475-427C-399E-2CF11DB75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7000" y="5092390"/>
          <a:ext cx="1473200" cy="5210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_CAC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_LT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_CA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_LTV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FFF00"/>
  </sheetPr>
  <dimension ref="A1:D20"/>
  <sheetViews>
    <sheetView showGridLines="0" tabSelected="1" workbookViewId="0">
      <pane ySplit="3" topLeftCell="A4" activePane="bottomLeft" state="frozen"/>
      <selection pane="bottomLeft" activeCell="H26" sqref="H26"/>
    </sheetView>
  </sheetViews>
  <sheetFormatPr baseColWidth="10" defaultColWidth="8.83203125" defaultRowHeight="15" x14ac:dyDescent="0.2"/>
  <cols>
    <col min="1" max="1" width="28" customWidth="1"/>
    <col min="2" max="2" width="22" customWidth="1"/>
    <col min="3" max="3" width="20" customWidth="1"/>
    <col min="4" max="4" width="18" customWidth="1"/>
  </cols>
  <sheetData>
    <row r="1" spans="1:4" ht="40" customHeight="1" x14ac:dyDescent="0.2">
      <c r="A1" s="32" t="s">
        <v>0</v>
      </c>
      <c r="B1" s="33"/>
      <c r="C1" s="33"/>
      <c r="D1" s="33"/>
    </row>
    <row r="3" spans="1:4" x14ac:dyDescent="0.2">
      <c r="A3" s="1" t="s">
        <v>1</v>
      </c>
      <c r="B3" s="1" t="s">
        <v>2</v>
      </c>
      <c r="C3" s="1" t="s">
        <v>3</v>
      </c>
      <c r="D3" s="1" t="s">
        <v>4</v>
      </c>
    </row>
    <row r="4" spans="1:4" ht="30" customHeight="1" x14ac:dyDescent="0.2">
      <c r="A4" s="2" t="s">
        <v>5</v>
      </c>
      <c r="B4" s="3">
        <f>IFERROR([1]Inputs_CAC!F10/[1]Inputs_CAC!G10,0)</f>
        <v>0</v>
      </c>
      <c r="C4" s="4" t="s">
        <v>6</v>
      </c>
      <c r="D4" s="5"/>
    </row>
    <row r="5" spans="1:4" ht="30" customHeight="1" x14ac:dyDescent="0.2">
      <c r="A5" s="2" t="s">
        <v>7</v>
      </c>
      <c r="B5" s="3">
        <f>IFERROR([2]Inputs_LTV!H32,0)</f>
        <v>0</v>
      </c>
      <c r="C5" s="4" t="s">
        <v>8</v>
      </c>
      <c r="D5" s="5"/>
    </row>
    <row r="6" spans="1:4" ht="30" customHeight="1" x14ac:dyDescent="0.2">
      <c r="A6" s="2" t="s">
        <v>9</v>
      </c>
      <c r="B6" s="3" t="str">
        <f>IFERROR(B5/B4,"N/A")</f>
        <v>N/A</v>
      </c>
      <c r="C6" s="4" t="s">
        <v>10</v>
      </c>
      <c r="D6" s="5" t="str">
        <f>IF(B6&gt;=3,"Saudável",IF(B6&gt;=1,"Atenção","Crítico"))</f>
        <v>Saudável</v>
      </c>
    </row>
    <row r="7" spans="1:4" ht="30" customHeight="1" x14ac:dyDescent="0.2">
      <c r="A7" s="2" t="s">
        <v>11</v>
      </c>
      <c r="B7" s="3">
        <f>IFERROR([1]Inputs_CAC!B10/[1]Inputs_CAC!F10,0)</f>
        <v>0</v>
      </c>
      <c r="C7" s="4" t="s">
        <v>12</v>
      </c>
      <c r="D7" s="5"/>
    </row>
    <row r="8" spans="1:4" ht="30" customHeight="1" x14ac:dyDescent="0.2">
      <c r="A8" s="2" t="s">
        <v>13</v>
      </c>
      <c r="B8" s="3" t="e">
        <f>[2]Inputs_LTV!B4</f>
        <v>#REF!</v>
      </c>
      <c r="C8" s="4" t="s">
        <v>8</v>
      </c>
      <c r="D8" s="5"/>
    </row>
    <row r="9" spans="1:4" ht="30" customHeight="1" x14ac:dyDescent="0.2">
      <c r="A9" s="2" t="s">
        <v>14</v>
      </c>
      <c r="B9" s="6" t="e">
        <f>[2]Inputs_LTV!B5</f>
        <v>#REF!</v>
      </c>
      <c r="C9" s="4" t="s">
        <v>8</v>
      </c>
      <c r="D9" s="5"/>
    </row>
    <row r="10" spans="1:4" ht="30" customHeight="1" x14ac:dyDescent="0.2">
      <c r="A10" s="2" t="s">
        <v>15</v>
      </c>
      <c r="B10" s="7">
        <f>IFERROR(B4/([2]Inputs_LTV!B4*[2]Inputs_LTV!B5),0)</f>
        <v>0</v>
      </c>
      <c r="C10" s="4" t="s">
        <v>16</v>
      </c>
      <c r="D10" s="5"/>
    </row>
    <row r="11" spans="1:4" ht="30" customHeight="1" x14ac:dyDescent="0.2">
      <c r="A11" s="2" t="s">
        <v>17</v>
      </c>
      <c r="B11" s="6" t="e">
        <f>[2]Inputs_LTV!B3</f>
        <v>#REF!</v>
      </c>
      <c r="C11" s="4" t="s">
        <v>8</v>
      </c>
      <c r="D11" s="5"/>
    </row>
    <row r="13" spans="1:4" x14ac:dyDescent="0.2">
      <c r="A13" s="8" t="s">
        <v>18</v>
      </c>
    </row>
    <row r="14" spans="1:4" x14ac:dyDescent="0.2">
      <c r="A14" s="9" t="s">
        <v>19</v>
      </c>
    </row>
    <row r="15" spans="1:4" x14ac:dyDescent="0.2">
      <c r="A15" s="10" t="s">
        <v>20</v>
      </c>
    </row>
    <row r="16" spans="1:4" x14ac:dyDescent="0.2">
      <c r="A16" s="11" t="s">
        <v>21</v>
      </c>
    </row>
    <row r="18" spans="1:4" x14ac:dyDescent="0.2">
      <c r="A18" s="41"/>
      <c r="B18" s="41"/>
      <c r="C18" s="41"/>
      <c r="D18" s="41"/>
    </row>
    <row r="19" spans="1:4" x14ac:dyDescent="0.2">
      <c r="A19" s="41"/>
      <c r="B19" s="41"/>
      <c r="C19" s="41"/>
      <c r="D19" s="41"/>
    </row>
    <row r="20" spans="1:4" x14ac:dyDescent="0.2">
      <c r="A20" s="41"/>
      <c r="B20" s="41"/>
      <c r="C20" s="41"/>
      <c r="D20" s="41"/>
    </row>
  </sheetData>
  <sheetProtection algorithmName="SHA-512" hashValue="Qa3Ea5h5ymdZc0ct6paL+MSbvPfVf8B76HH8tkUCifqo5qFYTqBLiV84b0gblXD0wvP8UUCfEC/OF8wC/JM96g==" saltValue="+kK7Omi30cyeiVlRdVUbVg==" spinCount="100000" sheet="1" objects="1" scenarios="1"/>
  <mergeCells count="1">
    <mergeCell ref="A1:D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FFF00"/>
  </sheetPr>
  <dimension ref="A1:I10"/>
  <sheetViews>
    <sheetView showGridLines="0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2" width="18" customWidth="1"/>
    <col min="3" max="3" width="24" customWidth="1"/>
    <col min="4" max="4" width="16" customWidth="1"/>
    <col min="5" max="5" width="20" customWidth="1"/>
    <col min="6" max="7" width="18" customWidth="1"/>
    <col min="8" max="8" width="16" customWidth="1"/>
    <col min="9" max="9" width="20" customWidth="1"/>
  </cols>
  <sheetData>
    <row r="1" spans="1:9" x14ac:dyDescent="0.2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</row>
    <row r="2" spans="1:9" x14ac:dyDescent="0.2">
      <c r="A2" s="12" t="s">
        <v>31</v>
      </c>
      <c r="B2" s="13">
        <v>0</v>
      </c>
      <c r="C2" s="13">
        <v>0</v>
      </c>
      <c r="D2" s="13">
        <v>0</v>
      </c>
      <c r="E2" s="13">
        <v>0</v>
      </c>
      <c r="F2" s="14">
        <f t="shared" ref="F2:F9" si="0">SUM(B2:E2)</f>
        <v>0</v>
      </c>
      <c r="G2" s="15">
        <v>0</v>
      </c>
      <c r="H2" s="14">
        <f t="shared" ref="H2:H10" si="1">IFERROR(F2/G2,0)</f>
        <v>0</v>
      </c>
      <c r="I2" s="16">
        <f t="shared" ref="I2:I10" si="2">IFERROR(B2/F2,0)</f>
        <v>0</v>
      </c>
    </row>
    <row r="3" spans="1:9" x14ac:dyDescent="0.2">
      <c r="A3" s="12" t="s">
        <v>32</v>
      </c>
      <c r="B3" s="13">
        <v>0</v>
      </c>
      <c r="C3" s="13">
        <v>0</v>
      </c>
      <c r="D3" s="13">
        <v>0</v>
      </c>
      <c r="E3" s="13">
        <v>0</v>
      </c>
      <c r="F3" s="14">
        <f t="shared" si="0"/>
        <v>0</v>
      </c>
      <c r="G3" s="15">
        <v>0</v>
      </c>
      <c r="H3" s="14">
        <f t="shared" si="1"/>
        <v>0</v>
      </c>
      <c r="I3" s="16">
        <f t="shared" si="2"/>
        <v>0</v>
      </c>
    </row>
    <row r="4" spans="1:9" x14ac:dyDescent="0.2">
      <c r="A4" s="12" t="s">
        <v>33</v>
      </c>
      <c r="B4" s="13">
        <v>0</v>
      </c>
      <c r="C4" s="13">
        <v>0</v>
      </c>
      <c r="D4" s="13">
        <v>0</v>
      </c>
      <c r="E4" s="13">
        <v>0</v>
      </c>
      <c r="F4" s="14">
        <f t="shared" si="0"/>
        <v>0</v>
      </c>
      <c r="G4" s="15">
        <v>0</v>
      </c>
      <c r="H4" s="14">
        <f t="shared" si="1"/>
        <v>0</v>
      </c>
      <c r="I4" s="16">
        <f t="shared" si="2"/>
        <v>0</v>
      </c>
    </row>
    <row r="5" spans="1:9" x14ac:dyDescent="0.2">
      <c r="A5" s="12" t="s">
        <v>34</v>
      </c>
      <c r="B5" s="13">
        <v>0</v>
      </c>
      <c r="C5" s="13">
        <v>0</v>
      </c>
      <c r="D5" s="13">
        <v>0</v>
      </c>
      <c r="E5" s="13">
        <v>0</v>
      </c>
      <c r="F5" s="14">
        <f t="shared" si="0"/>
        <v>0</v>
      </c>
      <c r="G5" s="15">
        <v>0</v>
      </c>
      <c r="H5" s="14">
        <f t="shared" si="1"/>
        <v>0</v>
      </c>
      <c r="I5" s="16">
        <f t="shared" si="2"/>
        <v>0</v>
      </c>
    </row>
    <row r="6" spans="1:9" x14ac:dyDescent="0.2">
      <c r="A6" s="12" t="s">
        <v>35</v>
      </c>
      <c r="B6" s="13">
        <v>0</v>
      </c>
      <c r="C6" s="13">
        <v>0</v>
      </c>
      <c r="D6" s="13">
        <v>0</v>
      </c>
      <c r="E6" s="13">
        <v>0</v>
      </c>
      <c r="F6" s="14">
        <f t="shared" si="0"/>
        <v>0</v>
      </c>
      <c r="G6" s="15">
        <v>0</v>
      </c>
      <c r="H6" s="14">
        <f t="shared" si="1"/>
        <v>0</v>
      </c>
      <c r="I6" s="16">
        <f t="shared" si="2"/>
        <v>0</v>
      </c>
    </row>
    <row r="7" spans="1:9" x14ac:dyDescent="0.2">
      <c r="A7" s="12" t="s">
        <v>36</v>
      </c>
      <c r="B7" s="13">
        <v>0</v>
      </c>
      <c r="C7" s="13">
        <v>0</v>
      </c>
      <c r="D7" s="13">
        <v>0</v>
      </c>
      <c r="E7" s="13">
        <v>0</v>
      </c>
      <c r="F7" s="14">
        <f t="shared" si="0"/>
        <v>0</v>
      </c>
      <c r="G7" s="15">
        <v>0</v>
      </c>
      <c r="H7" s="14">
        <f t="shared" si="1"/>
        <v>0</v>
      </c>
      <c r="I7" s="16">
        <f t="shared" si="2"/>
        <v>0</v>
      </c>
    </row>
    <row r="8" spans="1:9" x14ac:dyDescent="0.2">
      <c r="A8" s="12" t="s">
        <v>37</v>
      </c>
      <c r="B8" s="13">
        <v>0</v>
      </c>
      <c r="C8" s="13">
        <v>0</v>
      </c>
      <c r="D8" s="13">
        <v>0</v>
      </c>
      <c r="E8" s="13">
        <v>0</v>
      </c>
      <c r="F8" s="14">
        <f t="shared" si="0"/>
        <v>0</v>
      </c>
      <c r="G8" s="15">
        <v>0</v>
      </c>
      <c r="H8" s="14">
        <f t="shared" si="1"/>
        <v>0</v>
      </c>
      <c r="I8" s="16">
        <f t="shared" si="2"/>
        <v>0</v>
      </c>
    </row>
    <row r="9" spans="1:9" x14ac:dyDescent="0.2">
      <c r="A9" s="12" t="s">
        <v>38</v>
      </c>
      <c r="B9" s="13">
        <v>0</v>
      </c>
      <c r="C9" s="13">
        <v>0</v>
      </c>
      <c r="D9" s="13">
        <v>0</v>
      </c>
      <c r="E9" s="13">
        <v>0</v>
      </c>
      <c r="F9" s="14">
        <f t="shared" si="0"/>
        <v>0</v>
      </c>
      <c r="G9" s="15">
        <v>0</v>
      </c>
      <c r="H9" s="14">
        <f t="shared" si="1"/>
        <v>0</v>
      </c>
      <c r="I9" s="16">
        <f t="shared" si="2"/>
        <v>0</v>
      </c>
    </row>
    <row r="10" spans="1:9" x14ac:dyDescent="0.2">
      <c r="A10" s="2" t="s">
        <v>39</v>
      </c>
      <c r="B10" s="17">
        <f t="shared" ref="B10:G10" si="3">SUM(B2:B9)</f>
        <v>0</v>
      </c>
      <c r="C10" s="17">
        <f t="shared" si="3"/>
        <v>0</v>
      </c>
      <c r="D10" s="17">
        <f t="shared" si="3"/>
        <v>0</v>
      </c>
      <c r="E10" s="17">
        <f t="shared" si="3"/>
        <v>0</v>
      </c>
      <c r="F10" s="17">
        <f t="shared" si="3"/>
        <v>0</v>
      </c>
      <c r="G10" s="18">
        <f t="shared" si="3"/>
        <v>0</v>
      </c>
      <c r="H10" s="17">
        <f t="shared" si="1"/>
        <v>0</v>
      </c>
      <c r="I10" s="19">
        <f t="shared" si="2"/>
        <v>0</v>
      </c>
    </row>
  </sheetData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FFF00"/>
  </sheetPr>
  <dimension ref="A1:H3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ColWidth="8.83203125" defaultRowHeight="15" x14ac:dyDescent="0.2"/>
  <cols>
    <col min="1" max="2" width="22" customWidth="1"/>
    <col min="3" max="3" width="20" customWidth="1"/>
    <col min="4" max="4" width="18" customWidth="1"/>
    <col min="5" max="5" width="16" customWidth="1"/>
    <col min="6" max="6" width="14" customWidth="1"/>
    <col min="7" max="7" width="22" customWidth="1"/>
    <col min="8" max="8" width="24" customWidth="1"/>
  </cols>
  <sheetData>
    <row r="1" spans="1:8" x14ac:dyDescent="0.2">
      <c r="A1" s="34" t="s">
        <v>40</v>
      </c>
      <c r="B1" s="35"/>
    </row>
    <row r="2" spans="1:8" x14ac:dyDescent="0.2">
      <c r="A2" s="2" t="s">
        <v>41</v>
      </c>
      <c r="B2" s="15">
        <v>100</v>
      </c>
    </row>
    <row r="3" spans="1:8" x14ac:dyDescent="0.2">
      <c r="A3" s="2" t="s">
        <v>42</v>
      </c>
      <c r="B3" s="21">
        <v>0.05</v>
      </c>
    </row>
    <row r="4" spans="1:8" x14ac:dyDescent="0.2">
      <c r="A4" s="2" t="s">
        <v>43</v>
      </c>
      <c r="B4" s="13">
        <v>150</v>
      </c>
    </row>
    <row r="5" spans="1:8" x14ac:dyDescent="0.2">
      <c r="A5" s="2" t="s">
        <v>14</v>
      </c>
      <c r="B5" s="21">
        <v>0.3</v>
      </c>
    </row>
    <row r="7" spans="1:8" x14ac:dyDescent="0.2">
      <c r="A7" s="1" t="s">
        <v>44</v>
      </c>
      <c r="B7" s="1" t="s">
        <v>13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</row>
    <row r="8" spans="1:8" x14ac:dyDescent="0.2">
      <c r="A8" s="4" t="s">
        <v>51</v>
      </c>
      <c r="B8" s="13">
        <f t="shared" ref="B8:B31" si="0">$B$4</f>
        <v>150</v>
      </c>
      <c r="C8" s="14">
        <f t="shared" ref="C8:C31" si="1">D8*B8</f>
        <v>15000</v>
      </c>
      <c r="D8" s="22">
        <f>$B$2</f>
        <v>100</v>
      </c>
      <c r="E8" s="21">
        <f t="shared" ref="E8:E31" si="2">$B$3</f>
        <v>0.05</v>
      </c>
      <c r="F8" s="21">
        <f t="shared" ref="F8:F31" si="3">$B$5</f>
        <v>0.3</v>
      </c>
      <c r="G8" s="14">
        <f t="shared" ref="G8:G31" si="4">C8*F8</f>
        <v>4500</v>
      </c>
      <c r="H8" s="14">
        <f>SUM($G$8:G8)</f>
        <v>4500</v>
      </c>
    </row>
    <row r="9" spans="1:8" x14ac:dyDescent="0.2">
      <c r="A9" s="4" t="s">
        <v>52</v>
      </c>
      <c r="B9" s="13">
        <f t="shared" si="0"/>
        <v>150</v>
      </c>
      <c r="C9" s="14">
        <f t="shared" si="1"/>
        <v>14250</v>
      </c>
      <c r="D9" s="22">
        <f t="shared" ref="D9:D31" si="5">D8*(1-$B$3)</f>
        <v>95</v>
      </c>
      <c r="E9" s="21">
        <f t="shared" si="2"/>
        <v>0.05</v>
      </c>
      <c r="F9" s="21">
        <f t="shared" si="3"/>
        <v>0.3</v>
      </c>
      <c r="G9" s="14">
        <f t="shared" si="4"/>
        <v>4275</v>
      </c>
      <c r="H9" s="14">
        <f>SUM($G$8:G9)</f>
        <v>8775</v>
      </c>
    </row>
    <row r="10" spans="1:8" x14ac:dyDescent="0.2">
      <c r="A10" s="4" t="s">
        <v>53</v>
      </c>
      <c r="B10" s="13">
        <f t="shared" si="0"/>
        <v>150</v>
      </c>
      <c r="C10" s="14">
        <f t="shared" si="1"/>
        <v>13537.5</v>
      </c>
      <c r="D10" s="22">
        <f t="shared" si="5"/>
        <v>90.25</v>
      </c>
      <c r="E10" s="21">
        <f t="shared" si="2"/>
        <v>0.05</v>
      </c>
      <c r="F10" s="21">
        <f t="shared" si="3"/>
        <v>0.3</v>
      </c>
      <c r="G10" s="14">
        <f t="shared" si="4"/>
        <v>4061.25</v>
      </c>
      <c r="H10" s="14">
        <f>SUM($G$8:G10)</f>
        <v>12836.25</v>
      </c>
    </row>
    <row r="11" spans="1:8" x14ac:dyDescent="0.2">
      <c r="A11" s="4" t="s">
        <v>54</v>
      </c>
      <c r="B11" s="13">
        <f t="shared" si="0"/>
        <v>150</v>
      </c>
      <c r="C11" s="14">
        <f t="shared" si="1"/>
        <v>12860.625</v>
      </c>
      <c r="D11" s="22">
        <f t="shared" si="5"/>
        <v>85.737499999999997</v>
      </c>
      <c r="E11" s="21">
        <f t="shared" si="2"/>
        <v>0.05</v>
      </c>
      <c r="F11" s="21">
        <f t="shared" si="3"/>
        <v>0.3</v>
      </c>
      <c r="G11" s="14">
        <f t="shared" si="4"/>
        <v>3858.1875</v>
      </c>
      <c r="H11" s="14">
        <f>SUM($G$8:G11)</f>
        <v>16694.4375</v>
      </c>
    </row>
    <row r="12" spans="1:8" x14ac:dyDescent="0.2">
      <c r="A12" s="4" t="s">
        <v>55</v>
      </c>
      <c r="B12" s="13">
        <f t="shared" si="0"/>
        <v>150</v>
      </c>
      <c r="C12" s="14">
        <f t="shared" si="1"/>
        <v>12217.593749999998</v>
      </c>
      <c r="D12" s="22">
        <f t="shared" si="5"/>
        <v>81.450624999999988</v>
      </c>
      <c r="E12" s="21">
        <f t="shared" si="2"/>
        <v>0.05</v>
      </c>
      <c r="F12" s="21">
        <f t="shared" si="3"/>
        <v>0.3</v>
      </c>
      <c r="G12" s="14">
        <f t="shared" si="4"/>
        <v>3665.2781249999994</v>
      </c>
      <c r="H12" s="14">
        <f>SUM($G$8:G12)</f>
        <v>20359.715625000001</v>
      </c>
    </row>
    <row r="13" spans="1:8" x14ac:dyDescent="0.2">
      <c r="A13" s="4" t="s">
        <v>56</v>
      </c>
      <c r="B13" s="13">
        <f t="shared" si="0"/>
        <v>150</v>
      </c>
      <c r="C13" s="14">
        <f t="shared" si="1"/>
        <v>11606.714062499999</v>
      </c>
      <c r="D13" s="22">
        <f t="shared" si="5"/>
        <v>77.378093749999991</v>
      </c>
      <c r="E13" s="21">
        <f t="shared" si="2"/>
        <v>0.05</v>
      </c>
      <c r="F13" s="21">
        <f t="shared" si="3"/>
        <v>0.3</v>
      </c>
      <c r="G13" s="14">
        <f t="shared" si="4"/>
        <v>3482.0142187499996</v>
      </c>
      <c r="H13" s="14">
        <f>SUM($G$8:G13)</f>
        <v>23841.729843749999</v>
      </c>
    </row>
    <row r="14" spans="1:8" x14ac:dyDescent="0.2">
      <c r="A14" s="4" t="s">
        <v>57</v>
      </c>
      <c r="B14" s="13">
        <f t="shared" si="0"/>
        <v>150</v>
      </c>
      <c r="C14" s="14">
        <f t="shared" si="1"/>
        <v>11026.378359374998</v>
      </c>
      <c r="D14" s="22">
        <f t="shared" si="5"/>
        <v>73.509189062499985</v>
      </c>
      <c r="E14" s="21">
        <f t="shared" si="2"/>
        <v>0.05</v>
      </c>
      <c r="F14" s="21">
        <f t="shared" si="3"/>
        <v>0.3</v>
      </c>
      <c r="G14" s="14">
        <f t="shared" si="4"/>
        <v>3307.9135078124991</v>
      </c>
      <c r="H14" s="14">
        <f>SUM($G$8:G14)</f>
        <v>27149.643351562499</v>
      </c>
    </row>
    <row r="15" spans="1:8" x14ac:dyDescent="0.2">
      <c r="A15" s="4" t="s">
        <v>58</v>
      </c>
      <c r="B15" s="13">
        <f t="shared" si="0"/>
        <v>150</v>
      </c>
      <c r="C15" s="14">
        <f t="shared" si="1"/>
        <v>10475.059441406247</v>
      </c>
      <c r="D15" s="22">
        <f t="shared" si="5"/>
        <v>69.833729609374984</v>
      </c>
      <c r="E15" s="21">
        <f t="shared" si="2"/>
        <v>0.05</v>
      </c>
      <c r="F15" s="21">
        <f t="shared" si="3"/>
        <v>0.3</v>
      </c>
      <c r="G15" s="14">
        <f t="shared" si="4"/>
        <v>3142.5178324218741</v>
      </c>
      <c r="H15" s="14">
        <f>SUM($G$8:G15)</f>
        <v>30292.161183984375</v>
      </c>
    </row>
    <row r="16" spans="1:8" x14ac:dyDescent="0.2">
      <c r="A16" s="4" t="s">
        <v>59</v>
      </c>
      <c r="B16" s="13">
        <f t="shared" si="0"/>
        <v>150</v>
      </c>
      <c r="C16" s="14">
        <f t="shared" si="1"/>
        <v>9951.3064693359338</v>
      </c>
      <c r="D16" s="22">
        <f t="shared" si="5"/>
        <v>66.342043128906226</v>
      </c>
      <c r="E16" s="21">
        <f t="shared" si="2"/>
        <v>0.05</v>
      </c>
      <c r="F16" s="21">
        <f t="shared" si="3"/>
        <v>0.3</v>
      </c>
      <c r="G16" s="14">
        <f t="shared" si="4"/>
        <v>2985.39194080078</v>
      </c>
      <c r="H16" s="14">
        <f>SUM($G$8:G16)</f>
        <v>33277.553124785154</v>
      </c>
    </row>
    <row r="17" spans="1:8" x14ac:dyDescent="0.2">
      <c r="A17" s="4" t="s">
        <v>60</v>
      </c>
      <c r="B17" s="13">
        <f t="shared" si="0"/>
        <v>150</v>
      </c>
      <c r="C17" s="14">
        <f t="shared" si="1"/>
        <v>9453.7411458691367</v>
      </c>
      <c r="D17" s="22">
        <f t="shared" si="5"/>
        <v>63.024940972460911</v>
      </c>
      <c r="E17" s="21">
        <f t="shared" si="2"/>
        <v>0.05</v>
      </c>
      <c r="F17" s="21">
        <f t="shared" si="3"/>
        <v>0.3</v>
      </c>
      <c r="G17" s="14">
        <f t="shared" si="4"/>
        <v>2836.1223437607409</v>
      </c>
      <c r="H17" s="14">
        <f>SUM($G$8:G17)</f>
        <v>36113.675468545895</v>
      </c>
    </row>
    <row r="18" spans="1:8" x14ac:dyDescent="0.2">
      <c r="A18" s="4" t="s">
        <v>61</v>
      </c>
      <c r="B18" s="13">
        <f t="shared" si="0"/>
        <v>150</v>
      </c>
      <c r="C18" s="14">
        <f t="shared" si="1"/>
        <v>8981.05408857568</v>
      </c>
      <c r="D18" s="22">
        <f t="shared" si="5"/>
        <v>59.873693923837862</v>
      </c>
      <c r="E18" s="21">
        <f t="shared" si="2"/>
        <v>0.05</v>
      </c>
      <c r="F18" s="21">
        <f t="shared" si="3"/>
        <v>0.3</v>
      </c>
      <c r="G18" s="14">
        <f t="shared" si="4"/>
        <v>2694.3162265727037</v>
      </c>
      <c r="H18" s="14">
        <f>SUM($G$8:G18)</f>
        <v>38807.991695118595</v>
      </c>
    </row>
    <row r="19" spans="1:8" x14ac:dyDescent="0.2">
      <c r="A19" s="4" t="s">
        <v>62</v>
      </c>
      <c r="B19" s="13">
        <f t="shared" si="0"/>
        <v>150</v>
      </c>
      <c r="C19" s="14">
        <f t="shared" si="1"/>
        <v>8532.0013841468954</v>
      </c>
      <c r="D19" s="22">
        <f t="shared" si="5"/>
        <v>56.880009227645964</v>
      </c>
      <c r="E19" s="21">
        <f t="shared" si="2"/>
        <v>0.05</v>
      </c>
      <c r="F19" s="21">
        <f t="shared" si="3"/>
        <v>0.3</v>
      </c>
      <c r="G19" s="14">
        <f t="shared" si="4"/>
        <v>2559.6004152440687</v>
      </c>
      <c r="H19" s="14">
        <f>SUM($G$8:G19)</f>
        <v>41367.592110362661</v>
      </c>
    </row>
    <row r="20" spans="1:8" x14ac:dyDescent="0.2">
      <c r="A20" s="4" t="s">
        <v>63</v>
      </c>
      <c r="B20" s="13">
        <f t="shared" si="0"/>
        <v>150</v>
      </c>
      <c r="C20" s="14">
        <f t="shared" si="1"/>
        <v>8105.4013149395496</v>
      </c>
      <c r="D20" s="22">
        <f t="shared" si="5"/>
        <v>54.036008766263663</v>
      </c>
      <c r="E20" s="21">
        <f t="shared" si="2"/>
        <v>0.05</v>
      </c>
      <c r="F20" s="21">
        <f t="shared" si="3"/>
        <v>0.3</v>
      </c>
      <c r="G20" s="14">
        <f t="shared" si="4"/>
        <v>2431.6203944818649</v>
      </c>
      <c r="H20" s="14">
        <f>SUM($G$8:G20)</f>
        <v>43799.212504844523</v>
      </c>
    </row>
    <row r="21" spans="1:8" x14ac:dyDescent="0.2">
      <c r="A21" s="4" t="s">
        <v>64</v>
      </c>
      <c r="B21" s="13">
        <f t="shared" si="0"/>
        <v>150</v>
      </c>
      <c r="C21" s="14">
        <f t="shared" si="1"/>
        <v>7700.1312491925719</v>
      </c>
      <c r="D21" s="22">
        <f t="shared" si="5"/>
        <v>51.334208327950478</v>
      </c>
      <c r="E21" s="21">
        <f t="shared" si="2"/>
        <v>0.05</v>
      </c>
      <c r="F21" s="21">
        <f t="shared" si="3"/>
        <v>0.3</v>
      </c>
      <c r="G21" s="14">
        <f t="shared" si="4"/>
        <v>2310.0393747577714</v>
      </c>
      <c r="H21" s="14">
        <f>SUM($G$8:G21)</f>
        <v>46109.251879602292</v>
      </c>
    </row>
    <row r="22" spans="1:8" x14ac:dyDescent="0.2">
      <c r="A22" s="4" t="s">
        <v>65</v>
      </c>
      <c r="B22" s="13">
        <f t="shared" si="0"/>
        <v>150</v>
      </c>
      <c r="C22" s="14">
        <f t="shared" si="1"/>
        <v>7315.1246867329428</v>
      </c>
      <c r="D22" s="22">
        <f t="shared" si="5"/>
        <v>48.767497911552951</v>
      </c>
      <c r="E22" s="21">
        <f t="shared" si="2"/>
        <v>0.05</v>
      </c>
      <c r="F22" s="21">
        <f t="shared" si="3"/>
        <v>0.3</v>
      </c>
      <c r="G22" s="14">
        <f t="shared" si="4"/>
        <v>2194.5374060198828</v>
      </c>
      <c r="H22" s="14">
        <f>SUM($G$8:G22)</f>
        <v>48303.789285622173</v>
      </c>
    </row>
    <row r="23" spans="1:8" x14ac:dyDescent="0.2">
      <c r="A23" s="4" t="s">
        <v>66</v>
      </c>
      <c r="B23" s="13">
        <f t="shared" si="0"/>
        <v>150</v>
      </c>
      <c r="C23" s="14">
        <f t="shared" si="1"/>
        <v>6949.3684523962947</v>
      </c>
      <c r="D23" s="22">
        <f t="shared" si="5"/>
        <v>46.329123015975298</v>
      </c>
      <c r="E23" s="21">
        <f t="shared" si="2"/>
        <v>0.05</v>
      </c>
      <c r="F23" s="21">
        <f t="shared" si="3"/>
        <v>0.3</v>
      </c>
      <c r="G23" s="14">
        <f t="shared" si="4"/>
        <v>2084.8105357188883</v>
      </c>
      <c r="H23" s="14">
        <f>SUM($G$8:G23)</f>
        <v>50388.599821341064</v>
      </c>
    </row>
    <row r="24" spans="1:8" x14ac:dyDescent="0.2">
      <c r="A24" s="4" t="s">
        <v>67</v>
      </c>
      <c r="B24" s="13">
        <f t="shared" si="0"/>
        <v>150</v>
      </c>
      <c r="C24" s="14">
        <f t="shared" si="1"/>
        <v>6601.9000297764806</v>
      </c>
      <c r="D24" s="22">
        <f t="shared" si="5"/>
        <v>44.012666865176534</v>
      </c>
      <c r="E24" s="21">
        <f t="shared" si="2"/>
        <v>0.05</v>
      </c>
      <c r="F24" s="21">
        <f t="shared" si="3"/>
        <v>0.3</v>
      </c>
      <c r="G24" s="14">
        <f t="shared" si="4"/>
        <v>1980.5700089329441</v>
      </c>
      <c r="H24" s="14">
        <f>SUM($G$8:G24)</f>
        <v>52369.169830274011</v>
      </c>
    </row>
    <row r="25" spans="1:8" x14ac:dyDescent="0.2">
      <c r="A25" s="4" t="s">
        <v>68</v>
      </c>
      <c r="B25" s="13">
        <f t="shared" si="0"/>
        <v>150</v>
      </c>
      <c r="C25" s="14">
        <f t="shared" si="1"/>
        <v>6271.8050282876557</v>
      </c>
      <c r="D25" s="22">
        <f t="shared" si="5"/>
        <v>41.812033521917705</v>
      </c>
      <c r="E25" s="21">
        <f t="shared" si="2"/>
        <v>0.05</v>
      </c>
      <c r="F25" s="21">
        <f t="shared" si="3"/>
        <v>0.3</v>
      </c>
      <c r="G25" s="14">
        <f t="shared" si="4"/>
        <v>1881.5415084862966</v>
      </c>
      <c r="H25" s="14">
        <f>SUM($G$8:G25)</f>
        <v>54250.711338760309</v>
      </c>
    </row>
    <row r="26" spans="1:8" x14ac:dyDescent="0.2">
      <c r="A26" s="4" t="s">
        <v>69</v>
      </c>
      <c r="B26" s="13">
        <f t="shared" si="0"/>
        <v>150</v>
      </c>
      <c r="C26" s="14">
        <f t="shared" si="1"/>
        <v>5958.214776873273</v>
      </c>
      <c r="D26" s="22">
        <f t="shared" si="5"/>
        <v>39.721431845821819</v>
      </c>
      <c r="E26" s="21">
        <f t="shared" si="2"/>
        <v>0.05</v>
      </c>
      <c r="F26" s="21">
        <f t="shared" si="3"/>
        <v>0.3</v>
      </c>
      <c r="G26" s="14">
        <f t="shared" si="4"/>
        <v>1787.4644330619819</v>
      </c>
      <c r="H26" s="14">
        <f>SUM($G$8:G26)</f>
        <v>56038.175771822294</v>
      </c>
    </row>
    <row r="27" spans="1:8" x14ac:dyDescent="0.2">
      <c r="A27" s="4" t="s">
        <v>70</v>
      </c>
      <c r="B27" s="13">
        <f t="shared" si="0"/>
        <v>150</v>
      </c>
      <c r="C27" s="14">
        <f t="shared" si="1"/>
        <v>5660.3040380296097</v>
      </c>
      <c r="D27" s="22">
        <f t="shared" si="5"/>
        <v>37.735360253530729</v>
      </c>
      <c r="E27" s="21">
        <f t="shared" si="2"/>
        <v>0.05</v>
      </c>
      <c r="F27" s="21">
        <f t="shared" si="3"/>
        <v>0.3</v>
      </c>
      <c r="G27" s="14">
        <f t="shared" si="4"/>
        <v>1698.0912114088828</v>
      </c>
      <c r="H27" s="14">
        <f>SUM($G$8:G27)</f>
        <v>57736.26698323118</v>
      </c>
    </row>
    <row r="28" spans="1:8" x14ac:dyDescent="0.2">
      <c r="A28" s="4" t="s">
        <v>71</v>
      </c>
      <c r="B28" s="13">
        <f t="shared" si="0"/>
        <v>150</v>
      </c>
      <c r="C28" s="14">
        <f t="shared" si="1"/>
        <v>5377.2888361281284</v>
      </c>
      <c r="D28" s="22">
        <f t="shared" si="5"/>
        <v>35.848592240854188</v>
      </c>
      <c r="E28" s="21">
        <f t="shared" si="2"/>
        <v>0.05</v>
      </c>
      <c r="F28" s="21">
        <f t="shared" si="3"/>
        <v>0.3</v>
      </c>
      <c r="G28" s="14">
        <f t="shared" si="4"/>
        <v>1613.1866508384385</v>
      </c>
      <c r="H28" s="14">
        <f>SUM($G$8:G28)</f>
        <v>59349.453634069621</v>
      </c>
    </row>
    <row r="29" spans="1:8" x14ac:dyDescent="0.2">
      <c r="A29" s="4" t="s">
        <v>72</v>
      </c>
      <c r="B29" s="13">
        <f t="shared" si="0"/>
        <v>150</v>
      </c>
      <c r="C29" s="14">
        <f t="shared" si="1"/>
        <v>5108.4243943217216</v>
      </c>
      <c r="D29" s="22">
        <f t="shared" si="5"/>
        <v>34.056162628811478</v>
      </c>
      <c r="E29" s="21">
        <f t="shared" si="2"/>
        <v>0.05</v>
      </c>
      <c r="F29" s="21">
        <f t="shared" si="3"/>
        <v>0.3</v>
      </c>
      <c r="G29" s="14">
        <f t="shared" si="4"/>
        <v>1532.5273182965163</v>
      </c>
      <c r="H29" s="14">
        <f>SUM($G$8:G29)</f>
        <v>60881.980952366139</v>
      </c>
    </row>
    <row r="30" spans="1:8" x14ac:dyDescent="0.2">
      <c r="A30" s="4" t="s">
        <v>73</v>
      </c>
      <c r="B30" s="13">
        <f t="shared" si="0"/>
        <v>150</v>
      </c>
      <c r="C30" s="14">
        <f t="shared" si="1"/>
        <v>4853.0031746056356</v>
      </c>
      <c r="D30" s="22">
        <f t="shared" si="5"/>
        <v>32.353354497370901</v>
      </c>
      <c r="E30" s="21">
        <f t="shared" si="2"/>
        <v>0.05</v>
      </c>
      <c r="F30" s="21">
        <f t="shared" si="3"/>
        <v>0.3</v>
      </c>
      <c r="G30" s="14">
        <f t="shared" si="4"/>
        <v>1455.9009523816906</v>
      </c>
      <c r="H30" s="14">
        <f>SUM($G$8:G30)</f>
        <v>62337.881904747832</v>
      </c>
    </row>
    <row r="31" spans="1:8" x14ac:dyDescent="0.2">
      <c r="A31" s="4" t="s">
        <v>74</v>
      </c>
      <c r="B31" s="13">
        <f t="shared" si="0"/>
        <v>150</v>
      </c>
      <c r="C31" s="14">
        <f t="shared" si="1"/>
        <v>4610.3530158753529</v>
      </c>
      <c r="D31" s="22">
        <f t="shared" si="5"/>
        <v>30.735686772502355</v>
      </c>
      <c r="E31" s="21">
        <f t="shared" si="2"/>
        <v>0.05</v>
      </c>
      <c r="F31" s="21">
        <f t="shared" si="3"/>
        <v>0.3</v>
      </c>
      <c r="G31" s="14">
        <f t="shared" si="4"/>
        <v>1383.1059047626059</v>
      </c>
      <c r="H31" s="14">
        <f>SUM($G$8:G31)</f>
        <v>63720.987809510436</v>
      </c>
    </row>
    <row r="32" spans="1:8" ht="16" x14ac:dyDescent="0.2">
      <c r="A32" s="2" t="s">
        <v>75</v>
      </c>
      <c r="H32" s="23">
        <f>IFERROR(H31/B2,0)</f>
        <v>637.20987809510439</v>
      </c>
    </row>
  </sheetData>
  <mergeCells count="1">
    <mergeCell ref="A1:B1"/>
  </mergeCells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FFF00"/>
  </sheetPr>
  <dimension ref="A1:E22"/>
  <sheetViews>
    <sheetView showGridLines="0" workbookViewId="0">
      <pane ySplit="2" topLeftCell="A3" activePane="bottomLeft" state="frozen"/>
      <selection pane="bottomLeft" sqref="A1:E1"/>
    </sheetView>
  </sheetViews>
  <sheetFormatPr baseColWidth="10" defaultColWidth="8.83203125" defaultRowHeight="15" x14ac:dyDescent="0.2"/>
  <cols>
    <col min="1" max="1" width="28" customWidth="1"/>
    <col min="2" max="2" width="24" customWidth="1"/>
    <col min="3" max="5" width="18" customWidth="1"/>
  </cols>
  <sheetData>
    <row r="1" spans="1:5" ht="35" customHeight="1" x14ac:dyDescent="0.2">
      <c r="A1" s="36" t="s">
        <v>76</v>
      </c>
      <c r="B1" s="33"/>
      <c r="C1" s="33"/>
      <c r="D1" s="33"/>
      <c r="E1" s="33"/>
    </row>
    <row r="2" spans="1:5" ht="28" x14ac:dyDescent="0.2">
      <c r="A2" s="1" t="s">
        <v>1</v>
      </c>
      <c r="B2" s="1" t="s">
        <v>2</v>
      </c>
      <c r="C2" s="1" t="s">
        <v>77</v>
      </c>
      <c r="D2" s="1" t="s">
        <v>4</v>
      </c>
      <c r="E2" s="1" t="s">
        <v>78</v>
      </c>
    </row>
    <row r="3" spans="1:5" ht="28" customHeight="1" x14ac:dyDescent="0.2">
      <c r="A3" s="2" t="s">
        <v>9</v>
      </c>
      <c r="B3" s="24" t="str">
        <f>IFERROR(Dashboard!B6,0)</f>
        <v>N/A</v>
      </c>
      <c r="C3" s="4" t="s">
        <v>79</v>
      </c>
      <c r="D3" s="5" t="str">
        <f>IF(B3&gt;=3,"Saudável",IF(B3&gt;=1,"Atenção","Crítico"))</f>
        <v>Saudável</v>
      </c>
      <c r="E3" s="25" t="s">
        <v>80</v>
      </c>
    </row>
    <row r="4" spans="1:5" ht="28" customHeight="1" x14ac:dyDescent="0.2">
      <c r="A4" s="2" t="s">
        <v>81</v>
      </c>
      <c r="B4" s="23">
        <f>IFERROR(Dashboard!B4,0)</f>
        <v>0</v>
      </c>
      <c r="C4" s="4" t="s">
        <v>82</v>
      </c>
      <c r="E4" s="25" t="s">
        <v>83</v>
      </c>
    </row>
    <row r="5" spans="1:5" ht="28" customHeight="1" x14ac:dyDescent="0.2">
      <c r="A5" s="2" t="s">
        <v>84</v>
      </c>
      <c r="B5" s="23">
        <f>IFERROR(Dashboard!B5,0)</f>
        <v>0</v>
      </c>
      <c r="C5" s="4" t="s">
        <v>85</v>
      </c>
      <c r="E5" s="25" t="s">
        <v>86</v>
      </c>
    </row>
    <row r="6" spans="1:5" ht="28" customHeight="1" x14ac:dyDescent="0.2">
      <c r="A6" s="2" t="s">
        <v>15</v>
      </c>
      <c r="B6" s="24">
        <f>IFERROR(Dashboard!B10,0)</f>
        <v>0</v>
      </c>
      <c r="C6" s="4" t="s">
        <v>87</v>
      </c>
      <c r="D6" s="5" t="str">
        <f>IF(B6&lt;12,"Saudável",IF(B6&lt;24,"Atenção","Crítico"))</f>
        <v>Saudável</v>
      </c>
      <c r="E6" s="25" t="s">
        <v>88</v>
      </c>
    </row>
    <row r="7" spans="1:5" ht="28" customHeight="1" x14ac:dyDescent="0.2">
      <c r="A7" s="2" t="s">
        <v>11</v>
      </c>
      <c r="B7" s="24">
        <f>IFERROR(Dashboard!B7,0)</f>
        <v>0</v>
      </c>
      <c r="C7" s="4" t="s">
        <v>89</v>
      </c>
      <c r="D7" s="5" t="str">
        <f>IF(B7&gt;=4,"Saudável",IF(B7&gt;=2,"Atenção","Crítico"))</f>
        <v>Crítico</v>
      </c>
      <c r="E7" s="25" t="s">
        <v>90</v>
      </c>
    </row>
    <row r="8" spans="1:5" ht="28" customHeight="1" x14ac:dyDescent="0.2">
      <c r="A8" s="2" t="s">
        <v>17</v>
      </c>
      <c r="B8" s="26">
        <f>IFERROR(Dashboard!B11,0)</f>
        <v>0</v>
      </c>
      <c r="C8" s="4" t="s">
        <v>91</v>
      </c>
      <c r="D8" s="5" t="str">
        <f>IF(B8&lt;0.05,"Saudável",IF(B8&lt;0.1,"Atenção","Crítico"))</f>
        <v>Saudável</v>
      </c>
      <c r="E8" s="25" t="s">
        <v>92</v>
      </c>
    </row>
    <row r="9" spans="1:5" ht="28" customHeight="1" x14ac:dyDescent="0.2">
      <c r="A9" s="2" t="s">
        <v>14</v>
      </c>
      <c r="B9" s="26">
        <f>IFERROR(Dashboard!B9,0)</f>
        <v>0</v>
      </c>
      <c r="C9" s="4" t="s">
        <v>93</v>
      </c>
      <c r="D9" s="5" t="str">
        <f>IF(B9&gt;=0.2,"Saudável",IF(B9&gt;=0.1,"Atenção","Crítico"))</f>
        <v>Crítico</v>
      </c>
      <c r="E9" s="25" t="s">
        <v>94</v>
      </c>
    </row>
    <row r="10" spans="1:5" ht="28" customHeight="1" x14ac:dyDescent="0.2">
      <c r="A10" s="2" t="s">
        <v>95</v>
      </c>
      <c r="B10" s="24">
        <f>IFERROR(Dashboard!B4/([2]Inputs_LTV!B4*[2]Inputs_LTV!B5),0)</f>
        <v>0</v>
      </c>
      <c r="C10" s="4" t="s">
        <v>96</v>
      </c>
      <c r="D10" s="5" t="str">
        <f>IF(B11&lt;6,"Saudável",IF(B11&lt;12,"Atenção","Crítico"))</f>
        <v>Saudável</v>
      </c>
      <c r="E10" s="25" t="s">
        <v>97</v>
      </c>
    </row>
    <row r="13" spans="1:5" ht="16" x14ac:dyDescent="0.2">
      <c r="A13" s="37" t="s">
        <v>98</v>
      </c>
      <c r="B13" s="33"/>
      <c r="C13" s="33"/>
      <c r="D13" s="33"/>
      <c r="E13" s="33"/>
    </row>
    <row r="14" spans="1:5" x14ac:dyDescent="0.2">
      <c r="A14" s="1" t="s">
        <v>22</v>
      </c>
      <c r="B14" s="1" t="s">
        <v>99</v>
      </c>
      <c r="C14" s="1" t="s">
        <v>29</v>
      </c>
      <c r="D14" s="1" t="s">
        <v>100</v>
      </c>
      <c r="E14" s="1" t="s">
        <v>101</v>
      </c>
    </row>
    <row r="15" spans="1:5" x14ac:dyDescent="0.2">
      <c r="A15" s="12" t="s">
        <v>31</v>
      </c>
      <c r="B15" s="14" t="e">
        <f>[1]Inputs_CAC!B2</f>
        <v>#REF!</v>
      </c>
      <c r="C15" s="14">
        <f>IFERROR([1]Inputs_CAC!H2,0)</f>
        <v>0</v>
      </c>
      <c r="D15" s="16">
        <f>IFERROR((Dashboard!B$5-C15)/C15,0)</f>
        <v>0</v>
      </c>
      <c r="E15" s="27" t="str">
        <f t="shared" ref="E15:E22" si="0">IF(D15&gt;=3,"Excelente",IF(D15&gt;=1,"Bom",IF(D15&gt;=0,"Regular","Ruim")))</f>
        <v>Regular</v>
      </c>
    </row>
    <row r="16" spans="1:5" x14ac:dyDescent="0.2">
      <c r="A16" s="12" t="s">
        <v>32</v>
      </c>
      <c r="B16" s="14" t="e">
        <f>[1]Inputs_CAC!B3</f>
        <v>#REF!</v>
      </c>
      <c r="C16" s="14">
        <f>IFERROR([1]Inputs_CAC!H3,0)</f>
        <v>0</v>
      </c>
      <c r="D16" s="16">
        <f>IFERROR((Dashboard!B$5-C16)/C16,0)</f>
        <v>0</v>
      </c>
      <c r="E16" s="27" t="str">
        <f t="shared" si="0"/>
        <v>Regular</v>
      </c>
    </row>
    <row r="17" spans="1:5" x14ac:dyDescent="0.2">
      <c r="A17" s="12" t="s">
        <v>33</v>
      </c>
      <c r="B17" s="14" t="e">
        <f>[1]Inputs_CAC!B4</f>
        <v>#REF!</v>
      </c>
      <c r="C17" s="14">
        <f>IFERROR([1]Inputs_CAC!H4,0)</f>
        <v>0</v>
      </c>
      <c r="D17" s="16">
        <f>IFERROR((Dashboard!B$5-C17)/C17,0)</f>
        <v>0</v>
      </c>
      <c r="E17" s="27" t="str">
        <f t="shared" si="0"/>
        <v>Regular</v>
      </c>
    </row>
    <row r="18" spans="1:5" x14ac:dyDescent="0.2">
      <c r="A18" s="12" t="s">
        <v>34</v>
      </c>
      <c r="B18" s="14" t="e">
        <f>[1]Inputs_CAC!B5</f>
        <v>#REF!</v>
      </c>
      <c r="C18" s="14">
        <f>IFERROR([1]Inputs_CAC!H5,0)</f>
        <v>0</v>
      </c>
      <c r="D18" s="16">
        <f>IFERROR((Dashboard!B$5-C18)/C18,0)</f>
        <v>0</v>
      </c>
      <c r="E18" s="27" t="str">
        <f t="shared" si="0"/>
        <v>Regular</v>
      </c>
    </row>
    <row r="19" spans="1:5" x14ac:dyDescent="0.2">
      <c r="A19" s="12" t="s">
        <v>35</v>
      </c>
      <c r="B19" s="14" t="e">
        <f>[1]Inputs_CAC!B6</f>
        <v>#REF!</v>
      </c>
      <c r="C19" s="14">
        <f>IFERROR([1]Inputs_CAC!H6,0)</f>
        <v>0</v>
      </c>
      <c r="D19" s="16">
        <f>IFERROR((Dashboard!B$5-C19)/C19,0)</f>
        <v>0</v>
      </c>
      <c r="E19" s="27" t="str">
        <f t="shared" si="0"/>
        <v>Regular</v>
      </c>
    </row>
    <row r="20" spans="1:5" x14ac:dyDescent="0.2">
      <c r="A20" s="12" t="s">
        <v>36</v>
      </c>
      <c r="B20" s="14" t="e">
        <f>[1]Inputs_CAC!B7</f>
        <v>#REF!</v>
      </c>
      <c r="C20" s="14">
        <f>IFERROR([1]Inputs_CAC!H7,0)</f>
        <v>0</v>
      </c>
      <c r="D20" s="16">
        <f>IFERROR((Dashboard!B$5-C20)/C20,0)</f>
        <v>0</v>
      </c>
      <c r="E20" s="27" t="str">
        <f t="shared" si="0"/>
        <v>Regular</v>
      </c>
    </row>
    <row r="21" spans="1:5" x14ac:dyDescent="0.2">
      <c r="A21" s="12" t="s">
        <v>37</v>
      </c>
      <c r="B21" s="14" t="e">
        <f>[1]Inputs_CAC!B8</f>
        <v>#REF!</v>
      </c>
      <c r="C21" s="14">
        <f>IFERROR([1]Inputs_CAC!H8,0)</f>
        <v>0</v>
      </c>
      <c r="D21" s="16">
        <f>IFERROR((Dashboard!B$5-C21)/C21,0)</f>
        <v>0</v>
      </c>
      <c r="E21" s="27" t="str">
        <f t="shared" si="0"/>
        <v>Regular</v>
      </c>
    </row>
    <row r="22" spans="1:5" x14ac:dyDescent="0.2">
      <c r="A22" s="12" t="s">
        <v>38</v>
      </c>
      <c r="B22" s="14" t="e">
        <f>[1]Inputs_CAC!B9</f>
        <v>#REF!</v>
      </c>
      <c r="C22" s="14">
        <f>IFERROR([1]Inputs_CAC!H9,0)</f>
        <v>0</v>
      </c>
      <c r="D22" s="16">
        <f>IFERROR((Dashboard!B$5-C22)/C22,0)</f>
        <v>0</v>
      </c>
      <c r="E22" s="27" t="str">
        <f t="shared" si="0"/>
        <v>Regular</v>
      </c>
    </row>
  </sheetData>
  <mergeCells count="2">
    <mergeCell ref="A1:E1"/>
    <mergeCell ref="A13:E1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FFF00"/>
  </sheetPr>
  <dimension ref="A1:F20"/>
  <sheetViews>
    <sheetView showGridLines="0" workbookViewId="0">
      <pane ySplit="2" topLeftCell="A3" activePane="bottomLeft" state="frozen"/>
      <selection pane="bottomLeft" sqref="A1:F1"/>
    </sheetView>
  </sheetViews>
  <sheetFormatPr baseColWidth="10" defaultColWidth="8.83203125" defaultRowHeight="15" x14ac:dyDescent="0.2"/>
  <cols>
    <col min="1" max="1" width="30" customWidth="1"/>
    <col min="2" max="4" width="24" customWidth="1"/>
    <col min="5" max="6" width="22" customWidth="1"/>
  </cols>
  <sheetData>
    <row r="1" spans="1:6" ht="35" customHeight="1" x14ac:dyDescent="0.2">
      <c r="A1" s="36" t="s">
        <v>102</v>
      </c>
      <c r="B1" s="33"/>
      <c r="C1" s="33"/>
      <c r="D1" s="33"/>
      <c r="E1" s="33"/>
      <c r="F1" s="33"/>
    </row>
    <row r="2" spans="1:6" x14ac:dyDescent="0.2">
      <c r="A2" s="1" t="s">
        <v>1</v>
      </c>
      <c r="B2" s="1" t="s">
        <v>103</v>
      </c>
      <c r="C2" s="1" t="s">
        <v>104</v>
      </c>
      <c r="D2" s="1" t="s">
        <v>105</v>
      </c>
      <c r="E2" s="1" t="s">
        <v>106</v>
      </c>
      <c r="F2" s="1" t="s">
        <v>107</v>
      </c>
    </row>
    <row r="3" spans="1:6" x14ac:dyDescent="0.2">
      <c r="A3" s="20" t="s">
        <v>108</v>
      </c>
      <c r="B3" s="20"/>
      <c r="C3" s="20"/>
      <c r="D3" s="20"/>
      <c r="E3" s="20"/>
      <c r="F3" s="20"/>
    </row>
    <row r="4" spans="1:6" x14ac:dyDescent="0.2">
      <c r="A4" s="2" t="s">
        <v>109</v>
      </c>
      <c r="B4" s="28">
        <v>1</v>
      </c>
      <c r="C4" s="28">
        <v>0.8</v>
      </c>
      <c r="D4" s="28">
        <v>1.1499999999999999</v>
      </c>
      <c r="E4" s="16">
        <f>IFERROR(C4/B4-1,0)</f>
        <v>-0.19999999999999996</v>
      </c>
      <c r="F4" s="16">
        <f>IFERROR(D4/B4-1,0)</f>
        <v>0.14999999999999991</v>
      </c>
    </row>
    <row r="5" spans="1:6" x14ac:dyDescent="0.2">
      <c r="A5" s="2" t="s">
        <v>110</v>
      </c>
      <c r="B5" s="28">
        <v>1</v>
      </c>
      <c r="C5" s="28">
        <v>1.1499999999999999</v>
      </c>
      <c r="D5" s="28">
        <v>0.9</v>
      </c>
      <c r="E5" s="16">
        <f>IFERROR(C5/B5-1,0)</f>
        <v>0.14999999999999991</v>
      </c>
      <c r="F5" s="16">
        <f>IFERROR(D5/B5-1,0)</f>
        <v>-9.9999999999999978E-2</v>
      </c>
    </row>
    <row r="6" spans="1:6" x14ac:dyDescent="0.2">
      <c r="A6" s="2" t="s">
        <v>111</v>
      </c>
      <c r="B6" s="28">
        <v>1</v>
      </c>
      <c r="C6" s="28">
        <v>1.2</v>
      </c>
      <c r="D6" s="28">
        <v>0.85</v>
      </c>
      <c r="E6" s="16">
        <f>IFERROR(C6/B6-1,0)</f>
        <v>0.19999999999999996</v>
      </c>
      <c r="F6" s="16">
        <f>IFERROR(D6/B6-1,0)</f>
        <v>-0.15000000000000002</v>
      </c>
    </row>
    <row r="8" spans="1:6" x14ac:dyDescent="0.2">
      <c r="A8" s="20" t="s">
        <v>112</v>
      </c>
      <c r="B8" s="20"/>
      <c r="C8" s="20"/>
      <c r="D8" s="20"/>
      <c r="E8" s="20"/>
      <c r="F8" s="20"/>
    </row>
    <row r="9" spans="1:6" x14ac:dyDescent="0.2">
      <c r="A9" s="2" t="s">
        <v>113</v>
      </c>
      <c r="B9" s="29">
        <f>Dashboard!B4*$B$4</f>
        <v>0</v>
      </c>
      <c r="C9" s="29">
        <f>Dashboard!B4*$C$4</f>
        <v>0</v>
      </c>
      <c r="D9" s="29">
        <f>Dashboard!B4*$D$4</f>
        <v>0</v>
      </c>
      <c r="E9" s="16">
        <f t="shared" ref="E9:E14" si="0">IFERROR(C9/B9-1,0)</f>
        <v>0</v>
      </c>
      <c r="F9" s="16">
        <f t="shared" ref="F9:F14" si="1">IFERROR(D9/B9-1,0)</f>
        <v>0</v>
      </c>
    </row>
    <row r="10" spans="1:6" x14ac:dyDescent="0.2">
      <c r="A10" s="2" t="s">
        <v>114</v>
      </c>
      <c r="B10" s="29" t="e">
        <f>Dashboard!B8*$B$5</f>
        <v>#REF!</v>
      </c>
      <c r="C10" s="29" t="e">
        <f>Dashboard!B8*$C$5</f>
        <v>#REF!</v>
      </c>
      <c r="D10" s="29" t="e">
        <f>Dashboard!B8*$D$5</f>
        <v>#REF!</v>
      </c>
      <c r="E10" s="16">
        <f t="shared" si="0"/>
        <v>0</v>
      </c>
      <c r="F10" s="16">
        <f t="shared" si="1"/>
        <v>0</v>
      </c>
    </row>
    <row r="11" spans="1:6" x14ac:dyDescent="0.2">
      <c r="A11" s="2" t="s">
        <v>115</v>
      </c>
      <c r="B11" s="29">
        <f>Dashboard!B5*$B$5</f>
        <v>0</v>
      </c>
      <c r="C11" s="29">
        <f>Dashboard!B5*$C$5</f>
        <v>0</v>
      </c>
      <c r="D11" s="29">
        <f>Dashboard!B5*$D$5</f>
        <v>0</v>
      </c>
      <c r="E11" s="16">
        <f t="shared" si="0"/>
        <v>0</v>
      </c>
      <c r="F11" s="16">
        <f t="shared" si="1"/>
        <v>0</v>
      </c>
    </row>
    <row r="12" spans="1:6" x14ac:dyDescent="0.2">
      <c r="A12" s="2" t="s">
        <v>116</v>
      </c>
      <c r="B12" s="30">
        <f>IFERROR(B11/B9,0)</f>
        <v>0</v>
      </c>
      <c r="C12" s="30">
        <f>IFERROR(C11/C9,0)</f>
        <v>0</v>
      </c>
      <c r="D12" s="30">
        <f>IFERROR(D11/D9,0)</f>
        <v>0</v>
      </c>
      <c r="E12" s="16">
        <f t="shared" si="0"/>
        <v>0</v>
      </c>
      <c r="F12" s="16">
        <f t="shared" si="1"/>
        <v>0</v>
      </c>
    </row>
    <row r="13" spans="1:6" x14ac:dyDescent="0.2">
      <c r="A13" s="2" t="s">
        <v>117</v>
      </c>
      <c r="B13" s="31" t="e">
        <f>[2]Inputs_LTV!B2</f>
        <v>#REF!</v>
      </c>
      <c r="C13" s="31" t="e">
        <f>[2]Inputs_LTV!B2</f>
        <v>#REF!</v>
      </c>
      <c r="D13" s="31" t="e">
        <f>[2]Inputs_LTV!B2</f>
        <v>#REF!</v>
      </c>
      <c r="E13" s="16">
        <f t="shared" si="0"/>
        <v>0</v>
      </c>
      <c r="F13" s="16">
        <f t="shared" si="1"/>
        <v>0</v>
      </c>
    </row>
    <row r="14" spans="1:6" x14ac:dyDescent="0.2">
      <c r="A14" s="2" t="s">
        <v>118</v>
      </c>
      <c r="B14" s="29" t="e">
        <f>B13*B10*12</f>
        <v>#REF!</v>
      </c>
      <c r="C14" s="29" t="e">
        <f>C13*C10*12</f>
        <v>#REF!</v>
      </c>
      <c r="D14" s="29" t="e">
        <f>D13*D10*12</f>
        <v>#REF!</v>
      </c>
      <c r="E14" s="16">
        <f t="shared" si="0"/>
        <v>0</v>
      </c>
      <c r="F14" s="16">
        <f t="shared" si="1"/>
        <v>0</v>
      </c>
    </row>
    <row r="16" spans="1:6" ht="16" x14ac:dyDescent="0.2">
      <c r="A16" s="37" t="s">
        <v>119</v>
      </c>
      <c r="B16" s="33"/>
      <c r="C16" s="33"/>
      <c r="D16" s="33"/>
      <c r="E16" s="33"/>
      <c r="F16" s="33"/>
    </row>
    <row r="17" spans="1:4" ht="16" x14ac:dyDescent="0.2">
      <c r="A17" s="2" t="s">
        <v>120</v>
      </c>
      <c r="B17" s="38" t="str">
        <f>IF(AND(C12&gt;=B12,C12&gt;=D12),"Otimista",IF(AND(B12&gt;=C12,B12&gt;=D12),"Realista","Conservador"))</f>
        <v>Otimista</v>
      </c>
      <c r="C17" s="39"/>
      <c r="D17" s="40"/>
    </row>
    <row r="18" spans="1:4" ht="16" x14ac:dyDescent="0.2">
      <c r="A18" s="2" t="s">
        <v>121</v>
      </c>
      <c r="B18" s="38" t="str">
        <f>IF(B12&gt;=3,"Saudável",IF(B12&gt;=1,"Atenção","Crítico"))</f>
        <v>Crítico</v>
      </c>
      <c r="C18" s="39"/>
      <c r="D18" s="40"/>
    </row>
    <row r="19" spans="1:4" ht="16" x14ac:dyDescent="0.2">
      <c r="A19" s="2" t="s">
        <v>122</v>
      </c>
      <c r="B19" s="38" t="str">
        <f>IF(C12&gt;=3,"Saudável",IF(C12&gt;=1,"Atenção","Crítico"))</f>
        <v>Crítico</v>
      </c>
      <c r="C19" s="39"/>
      <c r="D19" s="40"/>
    </row>
    <row r="20" spans="1:4" ht="16" x14ac:dyDescent="0.2">
      <c r="A20" s="2" t="s">
        <v>123</v>
      </c>
      <c r="B20" s="38" t="str">
        <f>IF(D12&gt;=3,"Saudável",IF(D12&gt;=1,"Atenção","Crítico"))</f>
        <v>Crítico</v>
      </c>
      <c r="C20" s="39"/>
      <c r="D20" s="40"/>
    </row>
  </sheetData>
  <mergeCells count="6">
    <mergeCell ref="B20:D20"/>
    <mergeCell ref="A16:F16"/>
    <mergeCell ref="B19:D19"/>
    <mergeCell ref="A1:F1"/>
    <mergeCell ref="B17:D17"/>
    <mergeCell ref="B18:D18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Dashboard</vt:lpstr>
      <vt:lpstr>Inputs CAC</vt:lpstr>
      <vt:lpstr>Inputs LTV</vt:lpstr>
      <vt:lpstr>Saúde do Negócio</vt:lpstr>
      <vt:lpstr>Cenários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Paulo Ryba</cp:lastModifiedBy>
  <dcterms:created xsi:type="dcterms:W3CDTF">2026-07-28T00:36:42Z</dcterms:created>
  <dcterms:modified xsi:type="dcterms:W3CDTF">2026-07-30T18:28:19Z</dcterms:modified>
</cp:coreProperties>
</file>